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860" yWindow="0" windowWidth="20490" windowHeight="7530"/>
  </bookViews>
  <sheets>
    <sheet name="留意事項" sheetId="9" r:id="rId1"/>
    <sheet name="入力ポイント（よくあるミス等）" sheetId="30" r:id="rId2"/>
    <sheet name="入力シート" sheetId="36" r:id="rId3"/>
    <sheet name="入力例" sheetId="32" r:id="rId4"/>
  </sheets>
  <definedNames>
    <definedName name="_xlnm.Print_Area" localSheetId="2">入力シート!$A$1:$AR$49</definedName>
    <definedName name="_xlnm.Print_Area" localSheetId="1">'入力ポイント（よくあるミス等）'!$A$1:$AR$49</definedName>
    <definedName name="_xlnm.Print_Area" localSheetId="3">入力例!$A$1:$AR$49</definedName>
    <definedName name="_xlnm.Print_Area" localSheetId="0">留意事項!$A$1:$L$41</definedName>
  </definedNames>
  <calcPr calcId="162913"/>
</workbook>
</file>

<file path=xl/calcChain.xml><?xml version="1.0" encoding="utf-8"?>
<calcChain xmlns="http://schemas.openxmlformats.org/spreadsheetml/2006/main">
  <c r="F18" i="36" l="1"/>
  <c r="G16" i="36" l="1"/>
  <c r="G46" i="36"/>
  <c r="AJ14" i="36" l="1"/>
  <c r="AA16" i="30" l="1"/>
  <c r="AA16" i="32"/>
  <c r="E48" i="32" l="1"/>
  <c r="D48" i="32"/>
  <c r="M52" i="32" s="1"/>
  <c r="C48" i="32"/>
  <c r="G48" i="32" s="1"/>
  <c r="U46" i="32"/>
  <c r="T46" i="32"/>
  <c r="S46" i="32"/>
  <c r="R46" i="32"/>
  <c r="I46" i="32"/>
  <c r="G46" i="32"/>
  <c r="F46" i="32"/>
  <c r="U45" i="32"/>
  <c r="T45" i="32"/>
  <c r="S45" i="32"/>
  <c r="R45" i="32"/>
  <c r="I45" i="32"/>
  <c r="G45" i="32"/>
  <c r="J45" i="32" s="1"/>
  <c r="F45" i="32"/>
  <c r="U44" i="32"/>
  <c r="T44" i="32"/>
  <c r="S44" i="32"/>
  <c r="R44" i="32"/>
  <c r="I44" i="32"/>
  <c r="G44" i="32"/>
  <c r="J44" i="32" s="1"/>
  <c r="F44" i="32"/>
  <c r="U43" i="32"/>
  <c r="T43" i="32"/>
  <c r="S43" i="32"/>
  <c r="R43" i="32"/>
  <c r="I43" i="32"/>
  <c r="G43" i="32"/>
  <c r="F43" i="32"/>
  <c r="U42" i="32"/>
  <c r="T42" i="32"/>
  <c r="S42" i="32"/>
  <c r="R42" i="32"/>
  <c r="I42" i="32"/>
  <c r="G42" i="32"/>
  <c r="F42" i="32"/>
  <c r="U41" i="32"/>
  <c r="T41" i="32"/>
  <c r="S41" i="32"/>
  <c r="R41" i="32"/>
  <c r="I41" i="32"/>
  <c r="G41" i="32"/>
  <c r="J41" i="32" s="1"/>
  <c r="F41" i="32"/>
  <c r="U40" i="32"/>
  <c r="T40" i="32"/>
  <c r="S40" i="32"/>
  <c r="R40" i="32"/>
  <c r="I40" i="32"/>
  <c r="G40" i="32"/>
  <c r="F40" i="32"/>
  <c r="U39" i="32"/>
  <c r="T39" i="32"/>
  <c r="S39" i="32"/>
  <c r="R39" i="32"/>
  <c r="I39" i="32"/>
  <c r="G39" i="32"/>
  <c r="J39" i="32" s="1"/>
  <c r="F39" i="32"/>
  <c r="U38" i="32"/>
  <c r="T38" i="32"/>
  <c r="S38" i="32"/>
  <c r="R38" i="32"/>
  <c r="I38" i="32"/>
  <c r="G38" i="32"/>
  <c r="J38" i="32" s="1"/>
  <c r="F38" i="32"/>
  <c r="U37" i="32"/>
  <c r="T37" i="32"/>
  <c r="S37" i="32"/>
  <c r="R37" i="32"/>
  <c r="I37" i="32"/>
  <c r="G37" i="32"/>
  <c r="F37" i="32"/>
  <c r="U36" i="32"/>
  <c r="T36" i="32"/>
  <c r="S36" i="32"/>
  <c r="R36" i="32"/>
  <c r="I36" i="32"/>
  <c r="G36" i="32"/>
  <c r="J36" i="32" s="1"/>
  <c r="F36" i="32"/>
  <c r="U35" i="32"/>
  <c r="T35" i="32"/>
  <c r="S35" i="32"/>
  <c r="R35" i="32"/>
  <c r="I35" i="32"/>
  <c r="G35" i="32"/>
  <c r="F35" i="32"/>
  <c r="Z34" i="32"/>
  <c r="U34" i="32"/>
  <c r="T34" i="32"/>
  <c r="S34" i="32"/>
  <c r="R34" i="32"/>
  <c r="I34" i="32"/>
  <c r="G34" i="32"/>
  <c r="J34" i="32" s="1"/>
  <c r="F34" i="32"/>
  <c r="U33" i="32"/>
  <c r="T33" i="32"/>
  <c r="S33" i="32"/>
  <c r="R33" i="32"/>
  <c r="I33" i="32"/>
  <c r="G33" i="32"/>
  <c r="F33" i="32"/>
  <c r="H33" i="32" s="1"/>
  <c r="U32" i="32"/>
  <c r="T32" i="32"/>
  <c r="S32" i="32"/>
  <c r="R32" i="32"/>
  <c r="I32" i="32"/>
  <c r="G32" i="32"/>
  <c r="J32" i="32" s="1"/>
  <c r="F32" i="32"/>
  <c r="Z31" i="32"/>
  <c r="U31" i="32"/>
  <c r="T31" i="32"/>
  <c r="S31" i="32"/>
  <c r="R31" i="32"/>
  <c r="I31" i="32"/>
  <c r="G31" i="32"/>
  <c r="F31" i="32"/>
  <c r="U30" i="32"/>
  <c r="T30" i="32"/>
  <c r="S30" i="32"/>
  <c r="R30" i="32"/>
  <c r="I30" i="32"/>
  <c r="G30" i="32"/>
  <c r="J30" i="32" s="1"/>
  <c r="F30" i="32"/>
  <c r="U29" i="32"/>
  <c r="T29" i="32"/>
  <c r="S29" i="32"/>
  <c r="R29" i="32"/>
  <c r="I29" i="32"/>
  <c r="G29" i="32"/>
  <c r="J29" i="32" s="1"/>
  <c r="F29" i="32"/>
  <c r="U28" i="32"/>
  <c r="T28" i="32"/>
  <c r="S28" i="32"/>
  <c r="R28" i="32"/>
  <c r="I28" i="32"/>
  <c r="G28" i="32"/>
  <c r="J28" i="32" s="1"/>
  <c r="F28" i="32"/>
  <c r="U27" i="32"/>
  <c r="T27" i="32"/>
  <c r="S27" i="32"/>
  <c r="R27" i="32"/>
  <c r="I27" i="32"/>
  <c r="G27" i="32"/>
  <c r="J27" i="32" s="1"/>
  <c r="F27" i="32"/>
  <c r="U26" i="32"/>
  <c r="T26" i="32"/>
  <c r="S26" i="32"/>
  <c r="R26" i="32"/>
  <c r="I26" i="32"/>
  <c r="G26" i="32"/>
  <c r="J26" i="32" s="1"/>
  <c r="F26" i="32"/>
  <c r="U25" i="32"/>
  <c r="T25" i="32"/>
  <c r="S25" i="32"/>
  <c r="R25" i="32"/>
  <c r="I25" i="32"/>
  <c r="G25" i="32"/>
  <c r="J25" i="32" s="1"/>
  <c r="F25" i="32"/>
  <c r="U24" i="32"/>
  <c r="T24" i="32"/>
  <c r="S24" i="32"/>
  <c r="R24" i="32"/>
  <c r="I24" i="32"/>
  <c r="G24" i="32"/>
  <c r="J24" i="32" s="1"/>
  <c r="F24" i="32"/>
  <c r="U23" i="32"/>
  <c r="T23" i="32"/>
  <c r="S23" i="32"/>
  <c r="R23" i="32"/>
  <c r="I23" i="32"/>
  <c r="G23" i="32"/>
  <c r="F23" i="32"/>
  <c r="U22" i="32"/>
  <c r="T22" i="32"/>
  <c r="S22" i="32"/>
  <c r="R22" i="32"/>
  <c r="I22" i="32"/>
  <c r="G22" i="32"/>
  <c r="J22" i="32" s="1"/>
  <c r="F22" i="32"/>
  <c r="U21" i="32"/>
  <c r="T21" i="32"/>
  <c r="S21" i="32"/>
  <c r="R21" i="32"/>
  <c r="I21" i="32"/>
  <c r="G21" i="32"/>
  <c r="F21" i="32"/>
  <c r="U20" i="32"/>
  <c r="T20" i="32"/>
  <c r="S20" i="32"/>
  <c r="R20" i="32"/>
  <c r="I20" i="32"/>
  <c r="G20" i="32"/>
  <c r="J20" i="32" s="1"/>
  <c r="F20" i="32"/>
  <c r="U19" i="32"/>
  <c r="T19" i="32"/>
  <c r="S19" i="32"/>
  <c r="R19" i="32"/>
  <c r="I19" i="32"/>
  <c r="G19" i="32"/>
  <c r="F19" i="32"/>
  <c r="U18" i="32"/>
  <c r="T18" i="32"/>
  <c r="S18" i="32"/>
  <c r="R18" i="32"/>
  <c r="I18" i="32"/>
  <c r="G18" i="32"/>
  <c r="F18" i="32"/>
  <c r="U17" i="32"/>
  <c r="T17" i="32"/>
  <c r="S17" i="32"/>
  <c r="R17" i="32"/>
  <c r="I17" i="32"/>
  <c r="G17" i="32"/>
  <c r="F17" i="32"/>
  <c r="U16" i="32"/>
  <c r="T16" i="32"/>
  <c r="S16" i="32"/>
  <c r="R16" i="32"/>
  <c r="I16" i="32"/>
  <c r="G16" i="32"/>
  <c r="F16" i="32"/>
  <c r="AJ14" i="32"/>
  <c r="AA14" i="32"/>
  <c r="E48" i="30"/>
  <c r="D48" i="30"/>
  <c r="M52" i="30" s="1"/>
  <c r="Z37" i="30" s="1"/>
  <c r="C48" i="30"/>
  <c r="U46" i="30"/>
  <c r="T46" i="30"/>
  <c r="S46" i="30"/>
  <c r="R46" i="30"/>
  <c r="I46" i="30"/>
  <c r="G46" i="30"/>
  <c r="F46" i="30"/>
  <c r="U45" i="30"/>
  <c r="T45" i="30"/>
  <c r="S45" i="30"/>
  <c r="R45" i="30"/>
  <c r="I45" i="30"/>
  <c r="K45" i="30" s="1"/>
  <c r="G45" i="30"/>
  <c r="J45" i="30" s="1"/>
  <c r="F45" i="30"/>
  <c r="U44" i="30"/>
  <c r="T44" i="30"/>
  <c r="S44" i="30"/>
  <c r="R44" i="30"/>
  <c r="I44" i="30"/>
  <c r="G44" i="30"/>
  <c r="J44" i="30" s="1"/>
  <c r="F44" i="30"/>
  <c r="U43" i="30"/>
  <c r="T43" i="30"/>
  <c r="S43" i="30"/>
  <c r="R43" i="30"/>
  <c r="I43" i="30"/>
  <c r="G43" i="30"/>
  <c r="J43" i="30" s="1"/>
  <c r="F43" i="30"/>
  <c r="U42" i="30"/>
  <c r="T42" i="30"/>
  <c r="S42" i="30"/>
  <c r="R42" i="30"/>
  <c r="I42" i="30"/>
  <c r="G42" i="30"/>
  <c r="F42" i="30"/>
  <c r="U41" i="30"/>
  <c r="T41" i="30"/>
  <c r="S41" i="30"/>
  <c r="R41" i="30"/>
  <c r="I41" i="30"/>
  <c r="G41" i="30"/>
  <c r="J41" i="30" s="1"/>
  <c r="F41" i="30"/>
  <c r="H41" i="30" s="1"/>
  <c r="U40" i="30"/>
  <c r="T40" i="30"/>
  <c r="S40" i="30"/>
  <c r="R40" i="30"/>
  <c r="I40" i="30"/>
  <c r="G40" i="30"/>
  <c r="F40" i="30"/>
  <c r="U39" i="30"/>
  <c r="T39" i="30"/>
  <c r="S39" i="30"/>
  <c r="R39" i="30"/>
  <c r="I39" i="30"/>
  <c r="G39" i="30"/>
  <c r="J39" i="30" s="1"/>
  <c r="F39" i="30"/>
  <c r="U38" i="30"/>
  <c r="T38" i="30"/>
  <c r="S38" i="30"/>
  <c r="R38" i="30"/>
  <c r="I38" i="30"/>
  <c r="G38" i="30"/>
  <c r="J38" i="30" s="1"/>
  <c r="F38" i="30"/>
  <c r="U37" i="30"/>
  <c r="T37" i="30"/>
  <c r="S37" i="30"/>
  <c r="R37" i="30"/>
  <c r="I37" i="30"/>
  <c r="G37" i="30"/>
  <c r="F37" i="30"/>
  <c r="U36" i="30"/>
  <c r="T36" i="30"/>
  <c r="S36" i="30"/>
  <c r="R36" i="30"/>
  <c r="I36" i="30"/>
  <c r="G36" i="30"/>
  <c r="J36" i="30" s="1"/>
  <c r="F36" i="30"/>
  <c r="U35" i="30"/>
  <c r="T35" i="30"/>
  <c r="S35" i="30"/>
  <c r="R35" i="30"/>
  <c r="I35" i="30"/>
  <c r="G35" i="30"/>
  <c r="F35" i="30"/>
  <c r="Z34" i="30"/>
  <c r="U34" i="30"/>
  <c r="T34" i="30"/>
  <c r="S34" i="30"/>
  <c r="R34" i="30"/>
  <c r="I34" i="30"/>
  <c r="G34" i="30"/>
  <c r="F34" i="30"/>
  <c r="U33" i="30"/>
  <c r="T33" i="30"/>
  <c r="S33" i="30"/>
  <c r="R33" i="30"/>
  <c r="I33" i="30"/>
  <c r="G33" i="30"/>
  <c r="F33" i="30"/>
  <c r="U32" i="30"/>
  <c r="T32" i="30"/>
  <c r="S32" i="30"/>
  <c r="R32" i="30"/>
  <c r="I32" i="30"/>
  <c r="G32" i="30"/>
  <c r="J32" i="30" s="1"/>
  <c r="F32" i="30"/>
  <c r="H32" i="30" s="1"/>
  <c r="Z31" i="30"/>
  <c r="U31" i="30"/>
  <c r="T31" i="30"/>
  <c r="S31" i="30"/>
  <c r="R31" i="30"/>
  <c r="I31" i="30"/>
  <c r="G31" i="30"/>
  <c r="F31" i="30"/>
  <c r="U30" i="30"/>
  <c r="T30" i="30"/>
  <c r="S30" i="30"/>
  <c r="R30" i="30"/>
  <c r="I30" i="30"/>
  <c r="G30" i="30"/>
  <c r="J30" i="30" s="1"/>
  <c r="F30" i="30"/>
  <c r="H30" i="30" s="1"/>
  <c r="U29" i="30"/>
  <c r="T29" i="30"/>
  <c r="S29" i="30"/>
  <c r="R29" i="30"/>
  <c r="I29" i="30"/>
  <c r="G29" i="30"/>
  <c r="F29" i="30"/>
  <c r="U28" i="30"/>
  <c r="T28" i="30"/>
  <c r="S28" i="30"/>
  <c r="R28" i="30"/>
  <c r="I28" i="30"/>
  <c r="G28" i="30"/>
  <c r="J28" i="30" s="1"/>
  <c r="F28" i="30"/>
  <c r="U27" i="30"/>
  <c r="T27" i="30"/>
  <c r="S27" i="30"/>
  <c r="R27" i="30"/>
  <c r="I27" i="30"/>
  <c r="G27" i="30"/>
  <c r="F27" i="30"/>
  <c r="U26" i="30"/>
  <c r="T26" i="30"/>
  <c r="S26" i="30"/>
  <c r="R26" i="30"/>
  <c r="I26" i="30"/>
  <c r="G26" i="30"/>
  <c r="F26" i="30"/>
  <c r="H26" i="30" s="1"/>
  <c r="U25" i="30"/>
  <c r="T25" i="30"/>
  <c r="S25" i="30"/>
  <c r="R25" i="30"/>
  <c r="I25" i="30"/>
  <c r="G25" i="30"/>
  <c r="F25" i="30"/>
  <c r="H25" i="30" s="1"/>
  <c r="U24" i="30"/>
  <c r="T24" i="30"/>
  <c r="S24" i="30"/>
  <c r="R24" i="30"/>
  <c r="I24" i="30"/>
  <c r="G24" i="30"/>
  <c r="J24" i="30" s="1"/>
  <c r="F24" i="30"/>
  <c r="U23" i="30"/>
  <c r="T23" i="30"/>
  <c r="S23" i="30"/>
  <c r="R23" i="30"/>
  <c r="I23" i="30"/>
  <c r="G23" i="30"/>
  <c r="F23" i="30"/>
  <c r="H23" i="30" s="1"/>
  <c r="U22" i="30"/>
  <c r="T22" i="30"/>
  <c r="S22" i="30"/>
  <c r="R22" i="30"/>
  <c r="I22" i="30"/>
  <c r="G22" i="30"/>
  <c r="J22" i="30" s="1"/>
  <c r="F22" i="30"/>
  <c r="H22" i="30" s="1"/>
  <c r="U21" i="30"/>
  <c r="T21" i="30"/>
  <c r="S21" i="30"/>
  <c r="R21" i="30"/>
  <c r="I21" i="30"/>
  <c r="G21" i="30"/>
  <c r="J21" i="30" s="1"/>
  <c r="F21" i="30"/>
  <c r="U20" i="30"/>
  <c r="T20" i="30"/>
  <c r="S20" i="30"/>
  <c r="R20" i="30"/>
  <c r="I20" i="30"/>
  <c r="G20" i="30"/>
  <c r="J20" i="30" s="1"/>
  <c r="F20" i="30"/>
  <c r="U19" i="30"/>
  <c r="T19" i="30"/>
  <c r="S19" i="30"/>
  <c r="R19" i="30"/>
  <c r="I19" i="30"/>
  <c r="G19" i="30"/>
  <c r="F19" i="30"/>
  <c r="U18" i="30"/>
  <c r="T18" i="30"/>
  <c r="S18" i="30"/>
  <c r="R18" i="30"/>
  <c r="I18" i="30"/>
  <c r="G18" i="30"/>
  <c r="J18" i="30" s="1"/>
  <c r="F18" i="30"/>
  <c r="H18" i="30" s="1"/>
  <c r="U17" i="30"/>
  <c r="T17" i="30"/>
  <c r="S17" i="30"/>
  <c r="R17" i="30"/>
  <c r="I17" i="30"/>
  <c r="G17" i="30"/>
  <c r="J17" i="30" s="1"/>
  <c r="F17" i="30"/>
  <c r="U16" i="30"/>
  <c r="T16" i="30"/>
  <c r="S16" i="30"/>
  <c r="R16" i="30"/>
  <c r="I16" i="30"/>
  <c r="G16" i="30"/>
  <c r="J16" i="30" s="1"/>
  <c r="F16" i="30"/>
  <c r="AJ14" i="30"/>
  <c r="AA14" i="30"/>
  <c r="F21" i="36"/>
  <c r="Z31" i="36"/>
  <c r="AA14" i="36"/>
  <c r="L36" i="30" l="1"/>
  <c r="L29" i="30"/>
  <c r="P29" i="30" s="1"/>
  <c r="M32" i="30"/>
  <c r="L34" i="30"/>
  <c r="P34" i="30" s="1"/>
  <c r="L35" i="30"/>
  <c r="M30" i="30"/>
  <c r="L31" i="30"/>
  <c r="P31" i="30" s="1"/>
  <c r="L32" i="30"/>
  <c r="L41" i="30"/>
  <c r="P41" i="30" s="1"/>
  <c r="L22" i="30"/>
  <c r="P22" i="30" s="1"/>
  <c r="L30" i="30"/>
  <c r="P30" i="30" s="1"/>
  <c r="H46" i="32"/>
  <c r="H27" i="32"/>
  <c r="L30" i="32"/>
  <c r="P30" i="32" s="1"/>
  <c r="H28" i="32"/>
  <c r="M29" i="32"/>
  <c r="L31" i="32"/>
  <c r="P31" i="32" s="1"/>
  <c r="H21" i="32"/>
  <c r="K22" i="32"/>
  <c r="L32" i="32"/>
  <c r="P32" i="32" s="1"/>
  <c r="H36" i="32"/>
  <c r="H44" i="32"/>
  <c r="H45" i="32"/>
  <c r="H16" i="32"/>
  <c r="H17" i="32"/>
  <c r="H31" i="32"/>
  <c r="H32" i="32"/>
  <c r="L46" i="32"/>
  <c r="P46" i="32" s="1"/>
  <c r="H40" i="32"/>
  <c r="H38" i="32"/>
  <c r="K38" i="32"/>
  <c r="H43" i="32"/>
  <c r="L26" i="32"/>
  <c r="P26" i="32" s="1"/>
  <c r="L33" i="32"/>
  <c r="P33" i="32" s="1"/>
  <c r="K20" i="32"/>
  <c r="L41" i="32"/>
  <c r="L45" i="32"/>
  <c r="P45" i="32" s="1"/>
  <c r="K34" i="32"/>
  <c r="L18" i="32"/>
  <c r="P18" i="32" s="1"/>
  <c r="L22" i="32"/>
  <c r="P22" i="32" s="1"/>
  <c r="L23" i="32"/>
  <c r="P23" i="32" s="1"/>
  <c r="L25" i="32"/>
  <c r="P25" i="32" s="1"/>
  <c r="K28" i="32"/>
  <c r="K26" i="32"/>
  <c r="H39" i="32"/>
  <c r="J43" i="32"/>
  <c r="K43" i="32" s="1"/>
  <c r="M28" i="32"/>
  <c r="P41" i="32"/>
  <c r="M44" i="32"/>
  <c r="T48" i="32"/>
  <c r="U48" i="32"/>
  <c r="H34" i="32"/>
  <c r="K39" i="32"/>
  <c r="K36" i="32"/>
  <c r="J48" i="32"/>
  <c r="M48" i="32" s="1"/>
  <c r="AD16" i="32"/>
  <c r="L19" i="32"/>
  <c r="P19" i="32" s="1"/>
  <c r="L20" i="32"/>
  <c r="L21" i="32"/>
  <c r="P21" i="32" s="1"/>
  <c r="H25" i="32"/>
  <c r="L29" i="32"/>
  <c r="P29" i="32" s="1"/>
  <c r="M34" i="32"/>
  <c r="L35" i="32"/>
  <c r="P35" i="32" s="1"/>
  <c r="L40" i="32"/>
  <c r="P40" i="32" s="1"/>
  <c r="M39" i="32"/>
  <c r="L17" i="32"/>
  <c r="P17" i="32" s="1"/>
  <c r="H37" i="32"/>
  <c r="I48" i="32"/>
  <c r="H24" i="32"/>
  <c r="J37" i="32"/>
  <c r="M37" i="32" s="1"/>
  <c r="L44" i="32"/>
  <c r="P44" i="32" s="1"/>
  <c r="J16" i="32"/>
  <c r="K16" i="32" s="1"/>
  <c r="H18" i="32"/>
  <c r="H23" i="32"/>
  <c r="K24" i="32"/>
  <c r="K25" i="32"/>
  <c r="K27" i="32"/>
  <c r="H29" i="32"/>
  <c r="M36" i="32"/>
  <c r="H41" i="32"/>
  <c r="H42" i="32"/>
  <c r="H20" i="32"/>
  <c r="H22" i="32"/>
  <c r="M25" i="32"/>
  <c r="M27" i="32"/>
  <c r="L16" i="32"/>
  <c r="P16" i="32" s="1"/>
  <c r="M20" i="32"/>
  <c r="L24" i="32"/>
  <c r="P24" i="32" s="1"/>
  <c r="L27" i="32"/>
  <c r="P27" i="32" s="1"/>
  <c r="K29" i="32"/>
  <c r="L37" i="32"/>
  <c r="P37" i="32" s="1"/>
  <c r="M38" i="32"/>
  <c r="S48" i="32"/>
  <c r="J18" i="32"/>
  <c r="K18" i="32" s="1"/>
  <c r="H19" i="32"/>
  <c r="J31" i="32"/>
  <c r="K31" i="32" s="1"/>
  <c r="H35" i="32"/>
  <c r="J40" i="32"/>
  <c r="M40" i="32" s="1"/>
  <c r="L42" i="32"/>
  <c r="P42" i="32" s="1"/>
  <c r="H24" i="30"/>
  <c r="H34" i="30"/>
  <c r="H21" i="30"/>
  <c r="L24" i="30"/>
  <c r="P24" i="30" s="1"/>
  <c r="H29" i="30"/>
  <c r="H40" i="30"/>
  <c r="J48" i="30"/>
  <c r="M48" i="30" s="1"/>
  <c r="F48" i="30"/>
  <c r="H48" i="30" s="1"/>
  <c r="G48" i="30"/>
  <c r="AD16" i="30" s="1"/>
  <c r="L16" i="30"/>
  <c r="M43" i="30"/>
  <c r="L42" i="30"/>
  <c r="P42" i="30" s="1"/>
  <c r="L18" i="30"/>
  <c r="P18" i="30" s="1"/>
  <c r="K21" i="30"/>
  <c r="M39" i="30"/>
  <c r="M20" i="30"/>
  <c r="M28" i="30"/>
  <c r="M38" i="30"/>
  <c r="M16" i="30"/>
  <c r="N16" i="30" s="1"/>
  <c r="L21" i="30"/>
  <c r="P21" i="30" s="1"/>
  <c r="P36" i="30"/>
  <c r="L20" i="30"/>
  <c r="P20" i="30" s="1"/>
  <c r="M36" i="30"/>
  <c r="N36" i="30" s="1"/>
  <c r="M17" i="30"/>
  <c r="M18" i="30"/>
  <c r="H19" i="30"/>
  <c r="L26" i="30"/>
  <c r="L28" i="30"/>
  <c r="P28" i="30" s="1"/>
  <c r="AA31" i="30"/>
  <c r="AI31" i="30" s="1"/>
  <c r="AJ16" i="30" s="1"/>
  <c r="AM16" i="30" s="1"/>
  <c r="M41" i="30"/>
  <c r="S48" i="30"/>
  <c r="L17" i="30"/>
  <c r="P17" i="30" s="1"/>
  <c r="J19" i="30"/>
  <c r="K19" i="30" s="1"/>
  <c r="M24" i="30"/>
  <c r="K36" i="30"/>
  <c r="L44" i="30"/>
  <c r="P44" i="30" s="1"/>
  <c r="M22" i="30"/>
  <c r="K39" i="30"/>
  <c r="T48" i="30"/>
  <c r="L19" i="30"/>
  <c r="L33" i="30"/>
  <c r="P33" i="30" s="1"/>
  <c r="J34" i="30"/>
  <c r="M34" i="30" s="1"/>
  <c r="N34" i="30" s="1"/>
  <c r="L38" i="30"/>
  <c r="H45" i="30"/>
  <c r="M21" i="30"/>
  <c r="H16" i="30"/>
  <c r="U48" i="30"/>
  <c r="J23" i="30"/>
  <c r="K23" i="30" s="1"/>
  <c r="K26" i="30"/>
  <c r="K28" i="30"/>
  <c r="L39" i="30"/>
  <c r="P39" i="30" s="1"/>
  <c r="H44" i="30"/>
  <c r="M45" i="30"/>
  <c r="K17" i="30"/>
  <c r="H20" i="30"/>
  <c r="L25" i="30"/>
  <c r="P25" i="30" s="1"/>
  <c r="K38" i="30"/>
  <c r="I48" i="30"/>
  <c r="K48" i="30" s="1"/>
  <c r="L23" i="30"/>
  <c r="P23" i="30" s="1"/>
  <c r="J26" i="30"/>
  <c r="M26" i="30" s="1"/>
  <c r="L40" i="30"/>
  <c r="P40" i="30" s="1"/>
  <c r="L46" i="30"/>
  <c r="P46" i="30" s="1"/>
  <c r="R48" i="30"/>
  <c r="H37" i="30"/>
  <c r="L43" i="30"/>
  <c r="H17" i="30"/>
  <c r="L27" i="30"/>
  <c r="P27" i="30" s="1"/>
  <c r="L37" i="30"/>
  <c r="P37" i="30" s="1"/>
  <c r="K43" i="30"/>
  <c r="L45" i="30"/>
  <c r="P45" i="30" s="1"/>
  <c r="Z37" i="32"/>
  <c r="K30" i="32"/>
  <c r="K41" i="32"/>
  <c r="K32" i="32"/>
  <c r="K45" i="32"/>
  <c r="J17" i="32"/>
  <c r="K17" i="32" s="1"/>
  <c r="J19" i="32"/>
  <c r="M19" i="32" s="1"/>
  <c r="J21" i="32"/>
  <c r="M21" i="32" s="1"/>
  <c r="J23" i="32"/>
  <c r="M23" i="32" s="1"/>
  <c r="M26" i="32"/>
  <c r="M30" i="32"/>
  <c r="M32" i="32"/>
  <c r="M41" i="32"/>
  <c r="K44" i="32"/>
  <c r="M45" i="32"/>
  <c r="F48" i="32"/>
  <c r="H48" i="32" s="1"/>
  <c r="M22" i="32"/>
  <c r="M24" i="32"/>
  <c r="H26" i="32"/>
  <c r="L28" i="32"/>
  <c r="H30" i="32"/>
  <c r="J33" i="32"/>
  <c r="K33" i="32" s="1"/>
  <c r="L34" i="32"/>
  <c r="J35" i="32"/>
  <c r="K35" i="32" s="1"/>
  <c r="L36" i="32"/>
  <c r="L38" i="32"/>
  <c r="L39" i="32"/>
  <c r="J42" i="32"/>
  <c r="K42" i="32" s="1"/>
  <c r="L43" i="32"/>
  <c r="J46" i="32"/>
  <c r="K46" i="32" s="1"/>
  <c r="R48" i="32"/>
  <c r="M42" i="30"/>
  <c r="K32" i="30"/>
  <c r="K41" i="30"/>
  <c r="K30" i="30"/>
  <c r="P35" i="30"/>
  <c r="M44" i="30"/>
  <c r="K44" i="30"/>
  <c r="H42" i="30"/>
  <c r="K16" i="30"/>
  <c r="K18" i="30"/>
  <c r="K20" i="30"/>
  <c r="K22" i="30"/>
  <c r="K24" i="30"/>
  <c r="J25" i="30"/>
  <c r="K25" i="30" s="1"/>
  <c r="H28" i="30"/>
  <c r="J29" i="30"/>
  <c r="K29" i="30" s="1"/>
  <c r="H36" i="30"/>
  <c r="J37" i="30"/>
  <c r="H38" i="30"/>
  <c r="H39" i="30"/>
  <c r="J40" i="30"/>
  <c r="K40" i="30" s="1"/>
  <c r="H43" i="30"/>
  <c r="H27" i="30"/>
  <c r="H31" i="30"/>
  <c r="H33" i="30"/>
  <c r="H35" i="30"/>
  <c r="P16" i="30"/>
  <c r="J27" i="30"/>
  <c r="K27" i="30" s="1"/>
  <c r="J31" i="30"/>
  <c r="M31" i="30" s="1"/>
  <c r="J33" i="30"/>
  <c r="K33" i="30" s="1"/>
  <c r="J35" i="30"/>
  <c r="K35" i="30" s="1"/>
  <c r="J42" i="30"/>
  <c r="K42" i="30" s="1"/>
  <c r="J46" i="30"/>
  <c r="M46" i="30" s="1"/>
  <c r="H46" i="30"/>
  <c r="P19" i="30"/>
  <c r="AA18" i="30"/>
  <c r="AA20" i="30" s="1"/>
  <c r="E48" i="36"/>
  <c r="D48" i="36"/>
  <c r="C48" i="36"/>
  <c r="U46" i="36"/>
  <c r="T46" i="36"/>
  <c r="S46" i="36"/>
  <c r="R46" i="36"/>
  <c r="I46" i="36"/>
  <c r="F46" i="36"/>
  <c r="U45" i="36"/>
  <c r="T45" i="36"/>
  <c r="S45" i="36"/>
  <c r="R45" i="36"/>
  <c r="I45" i="36"/>
  <c r="G45" i="36"/>
  <c r="J45" i="36" s="1"/>
  <c r="F45" i="36"/>
  <c r="U44" i="36"/>
  <c r="T44" i="36"/>
  <c r="S44" i="36"/>
  <c r="R44" i="36"/>
  <c r="I44" i="36"/>
  <c r="G44" i="36"/>
  <c r="F44" i="36"/>
  <c r="U43" i="36"/>
  <c r="T43" i="36"/>
  <c r="S43" i="36"/>
  <c r="R43" i="36"/>
  <c r="I43" i="36"/>
  <c r="G43" i="36"/>
  <c r="J43" i="36" s="1"/>
  <c r="F43" i="36"/>
  <c r="U42" i="36"/>
  <c r="T42" i="36"/>
  <c r="S42" i="36"/>
  <c r="R42" i="36"/>
  <c r="I42" i="36"/>
  <c r="G42" i="36"/>
  <c r="F42" i="36"/>
  <c r="U41" i="36"/>
  <c r="T41" i="36"/>
  <c r="S41" i="36"/>
  <c r="R41" i="36"/>
  <c r="I41" i="36"/>
  <c r="G41" i="36"/>
  <c r="J41" i="36" s="1"/>
  <c r="F41" i="36"/>
  <c r="U40" i="36"/>
  <c r="T40" i="36"/>
  <c r="S40" i="36"/>
  <c r="R40" i="36"/>
  <c r="I40" i="36"/>
  <c r="G40" i="36"/>
  <c r="J40" i="36" s="1"/>
  <c r="F40" i="36"/>
  <c r="U39" i="36"/>
  <c r="T39" i="36"/>
  <c r="S39" i="36"/>
  <c r="R39" i="36"/>
  <c r="I39" i="36"/>
  <c r="G39" i="36"/>
  <c r="F39" i="36"/>
  <c r="U38" i="36"/>
  <c r="T38" i="36"/>
  <c r="S38" i="36"/>
  <c r="R38" i="36"/>
  <c r="I38" i="36"/>
  <c r="G38" i="36"/>
  <c r="F38" i="36"/>
  <c r="U37" i="36"/>
  <c r="T37" i="36"/>
  <c r="S37" i="36"/>
  <c r="R37" i="36"/>
  <c r="I37" i="36"/>
  <c r="G37" i="36"/>
  <c r="F37" i="36"/>
  <c r="U36" i="36"/>
  <c r="T36" i="36"/>
  <c r="S36" i="36"/>
  <c r="R36" i="36"/>
  <c r="I36" i="36"/>
  <c r="G36" i="36"/>
  <c r="J36" i="36" s="1"/>
  <c r="F36" i="36"/>
  <c r="U35" i="36"/>
  <c r="T35" i="36"/>
  <c r="S35" i="36"/>
  <c r="R35" i="36"/>
  <c r="I35" i="36"/>
  <c r="G35" i="36"/>
  <c r="J35" i="36" s="1"/>
  <c r="F35" i="36"/>
  <c r="Z34" i="36"/>
  <c r="U34" i="36"/>
  <c r="T34" i="36"/>
  <c r="S34" i="36"/>
  <c r="R34" i="36"/>
  <c r="I34" i="36"/>
  <c r="G34" i="36"/>
  <c r="J34" i="36" s="1"/>
  <c r="F34" i="36"/>
  <c r="U33" i="36"/>
  <c r="T33" i="36"/>
  <c r="S33" i="36"/>
  <c r="R33" i="36"/>
  <c r="I33" i="36"/>
  <c r="G33" i="36"/>
  <c r="F33" i="36"/>
  <c r="U32" i="36"/>
  <c r="T32" i="36"/>
  <c r="S32" i="36"/>
  <c r="R32" i="36"/>
  <c r="I32" i="36"/>
  <c r="G32" i="36"/>
  <c r="F32" i="36"/>
  <c r="U31" i="36"/>
  <c r="T31" i="36"/>
  <c r="S31" i="36"/>
  <c r="R31" i="36"/>
  <c r="I31" i="36"/>
  <c r="G31" i="36"/>
  <c r="J31" i="36" s="1"/>
  <c r="F31" i="36"/>
  <c r="U30" i="36"/>
  <c r="T30" i="36"/>
  <c r="S30" i="36"/>
  <c r="R30" i="36"/>
  <c r="I30" i="36"/>
  <c r="G30" i="36"/>
  <c r="F30" i="36"/>
  <c r="U29" i="36"/>
  <c r="T29" i="36"/>
  <c r="S29" i="36"/>
  <c r="R29" i="36"/>
  <c r="I29" i="36"/>
  <c r="G29" i="36"/>
  <c r="F29" i="36"/>
  <c r="U28" i="36"/>
  <c r="T28" i="36"/>
  <c r="S28" i="36"/>
  <c r="R28" i="36"/>
  <c r="I28" i="36"/>
  <c r="G28" i="36"/>
  <c r="J28" i="36" s="1"/>
  <c r="F28" i="36"/>
  <c r="U27" i="36"/>
  <c r="T27" i="36"/>
  <c r="S27" i="36"/>
  <c r="R27" i="36"/>
  <c r="I27" i="36"/>
  <c r="G27" i="36"/>
  <c r="F27" i="36"/>
  <c r="U26" i="36"/>
  <c r="T26" i="36"/>
  <c r="S26" i="36"/>
  <c r="R26" i="36"/>
  <c r="I26" i="36"/>
  <c r="G26" i="36"/>
  <c r="J26" i="36" s="1"/>
  <c r="F26" i="36"/>
  <c r="U25" i="36"/>
  <c r="T25" i="36"/>
  <c r="S25" i="36"/>
  <c r="R25" i="36"/>
  <c r="I25" i="36"/>
  <c r="G25" i="36"/>
  <c r="J25" i="36" s="1"/>
  <c r="F25" i="36"/>
  <c r="U24" i="36"/>
  <c r="T24" i="36"/>
  <c r="S24" i="36"/>
  <c r="R24" i="36"/>
  <c r="I24" i="36"/>
  <c r="G24" i="36"/>
  <c r="J24" i="36" s="1"/>
  <c r="F24" i="36"/>
  <c r="U23" i="36"/>
  <c r="T23" i="36"/>
  <c r="S23" i="36"/>
  <c r="R23" i="36"/>
  <c r="I23" i="36"/>
  <c r="G23" i="36"/>
  <c r="F23" i="36"/>
  <c r="U22" i="36"/>
  <c r="T22" i="36"/>
  <c r="S22" i="36"/>
  <c r="R22" i="36"/>
  <c r="I22" i="36"/>
  <c r="G22" i="36"/>
  <c r="F22" i="36"/>
  <c r="U21" i="36"/>
  <c r="T21" i="36"/>
  <c r="S21" i="36"/>
  <c r="R21" i="36"/>
  <c r="I21" i="36"/>
  <c r="G21" i="36"/>
  <c r="J21" i="36" s="1"/>
  <c r="U20" i="36"/>
  <c r="T20" i="36"/>
  <c r="S20" i="36"/>
  <c r="R20" i="36"/>
  <c r="I20" i="36"/>
  <c r="G20" i="36"/>
  <c r="J20" i="36" s="1"/>
  <c r="F20" i="36"/>
  <c r="U19" i="36"/>
  <c r="T19" i="36"/>
  <c r="S19" i="36"/>
  <c r="R19" i="36"/>
  <c r="I19" i="36"/>
  <c r="G19" i="36"/>
  <c r="F19" i="36"/>
  <c r="U18" i="36"/>
  <c r="T18" i="36"/>
  <c r="S18" i="36"/>
  <c r="R18" i="36"/>
  <c r="I18" i="36"/>
  <c r="G18" i="36"/>
  <c r="U17" i="36"/>
  <c r="T17" i="36"/>
  <c r="S17" i="36"/>
  <c r="R17" i="36"/>
  <c r="I17" i="36"/>
  <c r="G17" i="36"/>
  <c r="F17" i="36"/>
  <c r="U16" i="36"/>
  <c r="T16" i="36"/>
  <c r="S16" i="36"/>
  <c r="R16" i="36"/>
  <c r="I16" i="36"/>
  <c r="J16" i="36"/>
  <c r="F16" i="36"/>
  <c r="N17" i="30" l="1"/>
  <c r="N32" i="30"/>
  <c r="N46" i="30"/>
  <c r="N38" i="30"/>
  <c r="N30" i="30"/>
  <c r="N43" i="30"/>
  <c r="N31" i="30"/>
  <c r="N22" i="30"/>
  <c r="N24" i="30"/>
  <c r="N21" i="30"/>
  <c r="N42" i="30"/>
  <c r="P32" i="30"/>
  <c r="N45" i="30"/>
  <c r="N18" i="30"/>
  <c r="N41" i="30"/>
  <c r="N20" i="30"/>
  <c r="H25" i="36"/>
  <c r="N32" i="32"/>
  <c r="N23" i="32"/>
  <c r="N28" i="32"/>
  <c r="N25" i="32"/>
  <c r="N30" i="32"/>
  <c r="N26" i="32"/>
  <c r="H17" i="36"/>
  <c r="AA18" i="32"/>
  <c r="AD18" i="32" s="1"/>
  <c r="K40" i="32"/>
  <c r="N29" i="32"/>
  <c r="N45" i="32"/>
  <c r="N34" i="32"/>
  <c r="K37" i="32"/>
  <c r="N40" i="32"/>
  <c r="N22" i="32"/>
  <c r="AA31" i="32"/>
  <c r="AI31" i="32" s="1"/>
  <c r="K21" i="32"/>
  <c r="N41" i="32"/>
  <c r="N44" i="32"/>
  <c r="N20" i="32"/>
  <c r="M43" i="32"/>
  <c r="N43" i="32" s="1"/>
  <c r="N19" i="32"/>
  <c r="N37" i="32"/>
  <c r="N24" i="32"/>
  <c r="N21" i="32"/>
  <c r="M33" i="32"/>
  <c r="N33" i="32" s="1"/>
  <c r="M31" i="32"/>
  <c r="N31" i="32" s="1"/>
  <c r="N27" i="32"/>
  <c r="K19" i="32"/>
  <c r="N39" i="32"/>
  <c r="M16" i="32"/>
  <c r="N16" i="32" s="1"/>
  <c r="N38" i="32"/>
  <c r="P38" i="32"/>
  <c r="N36" i="32"/>
  <c r="P20" i="32"/>
  <c r="M18" i="32"/>
  <c r="N18" i="32" s="1"/>
  <c r="K48" i="32"/>
  <c r="M17" i="32"/>
  <c r="N17" i="32" s="1"/>
  <c r="N44" i="30"/>
  <c r="N28" i="30"/>
  <c r="P43" i="30"/>
  <c r="N39" i="30"/>
  <c r="M35" i="30"/>
  <c r="N35" i="30" s="1"/>
  <c r="N26" i="30"/>
  <c r="M40" i="30"/>
  <c r="N40" i="30" s="1"/>
  <c r="K46" i="30"/>
  <c r="L48" i="30"/>
  <c r="N48" i="30" s="1"/>
  <c r="P26" i="30"/>
  <c r="K34" i="30"/>
  <c r="M29" i="30"/>
  <c r="N29" i="30" s="1"/>
  <c r="M23" i="30"/>
  <c r="N23" i="30" s="1"/>
  <c r="P38" i="30"/>
  <c r="AJ31" i="30"/>
  <c r="M19" i="30"/>
  <c r="N19" i="30" s="1"/>
  <c r="M35" i="32"/>
  <c r="N35" i="32" s="1"/>
  <c r="M46" i="32"/>
  <c r="N46" i="32" s="1"/>
  <c r="M42" i="32"/>
  <c r="N42" i="32" s="1"/>
  <c r="P43" i="32"/>
  <c r="P28" i="32"/>
  <c r="P34" i="32"/>
  <c r="K23" i="32"/>
  <c r="L48" i="32"/>
  <c r="N48" i="32" s="1"/>
  <c r="P36" i="32"/>
  <c r="P39" i="32"/>
  <c r="AD20" i="30"/>
  <c r="AA37" i="30"/>
  <c r="AI37" i="30" s="1"/>
  <c r="AA22" i="30"/>
  <c r="AD22" i="30" s="1"/>
  <c r="M37" i="30"/>
  <c r="N37" i="30" s="1"/>
  <c r="K37" i="30"/>
  <c r="K31" i="30"/>
  <c r="M33" i="30"/>
  <c r="N33" i="30" s="1"/>
  <c r="M27" i="30"/>
  <c r="N27" i="30" s="1"/>
  <c r="AD18" i="30"/>
  <c r="AA34" i="30"/>
  <c r="AI34" i="30" s="1"/>
  <c r="M25" i="30"/>
  <c r="N25" i="30" s="1"/>
  <c r="M52" i="36"/>
  <c r="Z37" i="36" s="1"/>
  <c r="L20" i="36"/>
  <c r="P20" i="36" s="1"/>
  <c r="H16" i="36"/>
  <c r="H24" i="36"/>
  <c r="L42" i="36"/>
  <c r="P42" i="36" s="1"/>
  <c r="H32" i="36"/>
  <c r="H33" i="36"/>
  <c r="H31" i="36"/>
  <c r="H40" i="36"/>
  <c r="H27" i="36"/>
  <c r="L40" i="36"/>
  <c r="P40" i="36" s="1"/>
  <c r="L44" i="36"/>
  <c r="P44" i="36" s="1"/>
  <c r="L22" i="36"/>
  <c r="P22" i="36" s="1"/>
  <c r="L24" i="36"/>
  <c r="P24" i="36" s="1"/>
  <c r="L26" i="36"/>
  <c r="P26" i="36" s="1"/>
  <c r="L31" i="36"/>
  <c r="P31" i="36" s="1"/>
  <c r="L32" i="36"/>
  <c r="P32" i="36" s="1"/>
  <c r="K40" i="36"/>
  <c r="L43" i="36"/>
  <c r="P43" i="36" s="1"/>
  <c r="L21" i="36"/>
  <c r="P21" i="36" s="1"/>
  <c r="L41" i="36"/>
  <c r="P41" i="36" s="1"/>
  <c r="L29" i="36"/>
  <c r="P29" i="36" s="1"/>
  <c r="L39" i="36"/>
  <c r="P39" i="36" s="1"/>
  <c r="L27" i="36"/>
  <c r="P27" i="36" s="1"/>
  <c r="L36" i="36"/>
  <c r="P36" i="36" s="1"/>
  <c r="L28" i="36"/>
  <c r="P28" i="36" s="1"/>
  <c r="L34" i="36"/>
  <c r="P34" i="36" s="1"/>
  <c r="L35" i="36"/>
  <c r="P35" i="36" s="1"/>
  <c r="L23" i="36"/>
  <c r="P23" i="36" s="1"/>
  <c r="L45" i="36"/>
  <c r="P45" i="36" s="1"/>
  <c r="L33" i="36"/>
  <c r="P33" i="36" s="1"/>
  <c r="L30" i="36"/>
  <c r="P30" i="36" s="1"/>
  <c r="L38" i="36"/>
  <c r="P38" i="36" s="1"/>
  <c r="L37" i="36"/>
  <c r="P37" i="36" s="1"/>
  <c r="L25" i="36"/>
  <c r="P25" i="36" s="1"/>
  <c r="L46" i="36"/>
  <c r="P46" i="36" s="1"/>
  <c r="L19" i="36"/>
  <c r="P19" i="36" s="1"/>
  <c r="L17" i="36"/>
  <c r="P17" i="36" s="1"/>
  <c r="H22" i="36"/>
  <c r="H28" i="36"/>
  <c r="H37" i="36"/>
  <c r="H38" i="36"/>
  <c r="M43" i="36"/>
  <c r="H44" i="36"/>
  <c r="H23" i="36"/>
  <c r="L16" i="36"/>
  <c r="P16" i="36" s="1"/>
  <c r="H30" i="36"/>
  <c r="J33" i="36"/>
  <c r="M33" i="36" s="1"/>
  <c r="H36" i="36"/>
  <c r="K25" i="36"/>
  <c r="H42" i="36"/>
  <c r="L18" i="36"/>
  <c r="P18" i="36" s="1"/>
  <c r="K36" i="36"/>
  <c r="H19" i="36"/>
  <c r="G48" i="36"/>
  <c r="AA16" i="36" s="1"/>
  <c r="H18" i="36"/>
  <c r="M31" i="36"/>
  <c r="K31" i="36"/>
  <c r="M20" i="36"/>
  <c r="K20" i="36"/>
  <c r="U48" i="36"/>
  <c r="J19" i="36"/>
  <c r="K19" i="36" s="1"/>
  <c r="K24" i="36"/>
  <c r="M41" i="36"/>
  <c r="H21" i="36"/>
  <c r="K28" i="36"/>
  <c r="H34" i="36"/>
  <c r="R48" i="36"/>
  <c r="M25" i="36"/>
  <c r="H26" i="36"/>
  <c r="H29" i="36"/>
  <c r="J30" i="36"/>
  <c r="K30" i="36" s="1"/>
  <c r="H35" i="36"/>
  <c r="H39" i="36"/>
  <c r="H43" i="36"/>
  <c r="M26" i="36"/>
  <c r="K43" i="36"/>
  <c r="T48" i="36"/>
  <c r="J29" i="36"/>
  <c r="M29" i="36" s="1"/>
  <c r="M36" i="36"/>
  <c r="J39" i="36"/>
  <c r="K39" i="36" s="1"/>
  <c r="H45" i="36"/>
  <c r="H20" i="36"/>
  <c r="M24" i="36"/>
  <c r="M45" i="36"/>
  <c r="M28" i="36"/>
  <c r="M40" i="36"/>
  <c r="H41" i="36"/>
  <c r="I48" i="36"/>
  <c r="S48" i="36"/>
  <c r="M35" i="36"/>
  <c r="K35" i="36"/>
  <c r="K26" i="36"/>
  <c r="M16" i="36"/>
  <c r="K16" i="36"/>
  <c r="K45" i="36"/>
  <c r="K41" i="36"/>
  <c r="K21" i="36"/>
  <c r="M21" i="36"/>
  <c r="M34" i="36"/>
  <c r="K34" i="36"/>
  <c r="J44" i="36"/>
  <c r="K44" i="36" s="1"/>
  <c r="H46" i="36"/>
  <c r="F48" i="36"/>
  <c r="J23" i="36"/>
  <c r="K23" i="36" s="1"/>
  <c r="J27" i="36"/>
  <c r="M27" i="36" s="1"/>
  <c r="J32" i="36"/>
  <c r="M32" i="36" s="1"/>
  <c r="J37" i="36"/>
  <c r="M37" i="36" s="1"/>
  <c r="J38" i="36"/>
  <c r="K38" i="36" s="1"/>
  <c r="J17" i="36"/>
  <c r="K17" i="36" s="1"/>
  <c r="J22" i="36"/>
  <c r="M22" i="36" s="1"/>
  <c r="J42" i="36"/>
  <c r="M42" i="36" s="1"/>
  <c r="J46" i="36"/>
  <c r="K46" i="36" s="1"/>
  <c r="J18" i="36"/>
  <c r="K18" i="36" s="1"/>
  <c r="P48" i="30" l="1"/>
  <c r="N28" i="36"/>
  <c r="AA18" i="36"/>
  <c r="AA20" i="36" s="1"/>
  <c r="AA20" i="32"/>
  <c r="AA34" i="32"/>
  <c r="AI34" i="32" s="1"/>
  <c r="AJ18" i="32" s="1"/>
  <c r="AJ34" i="32" s="1"/>
  <c r="AJ16" i="32"/>
  <c r="AM16" i="32" s="1"/>
  <c r="P48" i="32"/>
  <c r="AD24" i="30"/>
  <c r="AJ18" i="30"/>
  <c r="AJ20" i="30" s="1"/>
  <c r="N20" i="36"/>
  <c r="N43" i="36"/>
  <c r="N42" i="36"/>
  <c r="N36" i="36"/>
  <c r="N33" i="36"/>
  <c r="N40" i="36"/>
  <c r="N16" i="36"/>
  <c r="N41" i="36"/>
  <c r="N31" i="36"/>
  <c r="N29" i="36"/>
  <c r="N24" i="36"/>
  <c r="N21" i="36"/>
  <c r="M30" i="36"/>
  <c r="N30" i="36" s="1"/>
  <c r="N25" i="36"/>
  <c r="N32" i="36"/>
  <c r="M19" i="36"/>
  <c r="N19" i="36" s="1"/>
  <c r="L48" i="36"/>
  <c r="N26" i="36"/>
  <c r="N22" i="36"/>
  <c r="N34" i="36"/>
  <c r="N37" i="36"/>
  <c r="N27" i="36"/>
  <c r="N45" i="36"/>
  <c r="P48" i="36"/>
  <c r="N35" i="36"/>
  <c r="H48" i="36"/>
  <c r="J48" i="36"/>
  <c r="K33" i="36"/>
  <c r="K29" i="36"/>
  <c r="K37" i="36"/>
  <c r="M38" i="36"/>
  <c r="N38" i="36" s="1"/>
  <c r="M39" i="36"/>
  <c r="N39" i="36" s="1"/>
  <c r="K42" i="36"/>
  <c r="M18" i="36"/>
  <c r="N18" i="36" s="1"/>
  <c r="M17" i="36"/>
  <c r="N17" i="36" s="1"/>
  <c r="M46" i="36"/>
  <c r="N46" i="36" s="1"/>
  <c r="M23" i="36"/>
  <c r="N23" i="36" s="1"/>
  <c r="K22" i="36"/>
  <c r="K32" i="36"/>
  <c r="M44" i="36"/>
  <c r="N44" i="36" s="1"/>
  <c r="K27" i="36"/>
  <c r="AJ38" i="30" l="1"/>
  <c r="AA38" i="30"/>
  <c r="AA22" i="36"/>
  <c r="AD20" i="32"/>
  <c r="AA37" i="32"/>
  <c r="AI37" i="32" s="1"/>
  <c r="AJ20" i="32" s="1"/>
  <c r="AA22" i="32"/>
  <c r="AD22" i="32" s="1"/>
  <c r="AJ31" i="32"/>
  <c r="AM18" i="32"/>
  <c r="AM20" i="30"/>
  <c r="AJ37" i="30"/>
  <c r="AM18" i="30"/>
  <c r="AJ22" i="30"/>
  <c r="AM22" i="30" s="1"/>
  <c r="AJ34" i="30"/>
  <c r="AD16" i="36"/>
  <c r="AA31" i="36"/>
  <c r="AI31" i="36" s="1"/>
  <c r="M48" i="36"/>
  <c r="K48" i="36"/>
  <c r="AM20" i="32" l="1"/>
  <c r="AA38" i="32"/>
  <c r="AJ38" i="32"/>
  <c r="AD24" i="32"/>
  <c r="AJ37" i="32"/>
  <c r="AJ22" i="32"/>
  <c r="AM22" i="32" s="1"/>
  <c r="AM24" i="30"/>
  <c r="AP24" i="30" s="1"/>
  <c r="AD20" i="36"/>
  <c r="AJ16" i="36"/>
  <c r="AJ31" i="36" s="1"/>
  <c r="AA34" i="36"/>
  <c r="AI34" i="36" s="1"/>
  <c r="AD18" i="36"/>
  <c r="AA37" i="36"/>
  <c r="AI37" i="36" s="1"/>
  <c r="AD22" i="36"/>
  <c r="N48" i="36"/>
  <c r="AM24" i="32" l="1"/>
  <c r="AP24" i="32" s="1"/>
  <c r="AJ18" i="36"/>
  <c r="AJ34" i="36" s="1"/>
  <c r="AD24" i="36"/>
  <c r="AM16" i="36"/>
  <c r="AM18" i="36" l="1"/>
  <c r="AJ20" i="36"/>
  <c r="AJ37" i="36" l="1"/>
  <c r="AJ38" i="36"/>
  <c r="AA38" i="36"/>
  <c r="AJ22" i="36"/>
  <c r="AM22" i="36" s="1"/>
  <c r="AM20" i="36"/>
  <c r="AM24" i="36" l="1"/>
  <c r="AP24" i="36" s="1"/>
</calcChain>
</file>

<file path=xl/sharedStrings.xml><?xml version="1.0" encoding="utf-8"?>
<sst xmlns="http://schemas.openxmlformats.org/spreadsheetml/2006/main" count="408" uniqueCount="121">
  <si>
    <t>日間</t>
    <rPh sb="0" eb="2">
      <t>ニチカン</t>
    </rPh>
    <phoneticPr fontId="2"/>
  </si>
  <si>
    <t>％</t>
    <phoneticPr fontId="2"/>
  </si>
  <si>
    <t>日付</t>
    <rPh sb="0" eb="2">
      <t>ヒヅケ</t>
    </rPh>
    <phoneticPr fontId="2"/>
  </si>
  <si>
    <t>細則４．（１）
に定める金額</t>
    <rPh sb="0" eb="2">
      <t>サイソク</t>
    </rPh>
    <rPh sb="9" eb="10">
      <t>サダ</t>
    </rPh>
    <rPh sb="12" eb="14">
      <t>キンガク</t>
    </rPh>
    <phoneticPr fontId="2"/>
  </si>
  <si>
    <t>細則４．（２）
に定める金額</t>
    <rPh sb="0" eb="2">
      <t>サイソク</t>
    </rPh>
    <rPh sb="9" eb="10">
      <t>サダ</t>
    </rPh>
    <rPh sb="12" eb="14">
      <t>キンガク</t>
    </rPh>
    <phoneticPr fontId="2"/>
  </si>
  <si>
    <t>細則４．（３）
に定める金額</t>
    <rPh sb="0" eb="2">
      <t>サイソク</t>
    </rPh>
    <rPh sb="9" eb="10">
      <t>サダ</t>
    </rPh>
    <rPh sb="12" eb="14">
      <t>キンガク</t>
    </rPh>
    <phoneticPr fontId="2"/>
  </si>
  <si>
    <t>円</t>
    <rPh sb="0" eb="1">
      <t>エン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</si>
  <si>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</si>
  <si>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</si>
  <si>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（上限値との差額）</t>
    <rPh sb="6" eb="8">
      <t>サガク</t>
    </rPh>
    <phoneticPr fontId="2"/>
  </si>
  <si>
    <t>利用にあたって</t>
    <rPh sb="0" eb="2">
      <t>リヨウ</t>
    </rPh>
    <phoneticPr fontId="2"/>
  </si>
  <si>
    <t>　日本銀行業務局総務課 営業・国債業務企画グループ</t>
    <phoneticPr fontId="2"/>
  </si>
  <si>
    <t>日</t>
    <rPh sb="0" eb="1">
      <t>ニチ</t>
    </rPh>
    <phoneticPr fontId="2"/>
  </si>
  <si>
    <t>（本ツールに関する照会先）</t>
    <rPh sb="1" eb="2">
      <t>ホン</t>
    </rPh>
    <rPh sb="6" eb="7">
      <t>カン</t>
    </rPh>
    <phoneticPr fontId="2"/>
  </si>
  <si>
    <t>①付利対象積み期間</t>
    <rPh sb="1" eb="3">
      <t>フリ</t>
    </rPh>
    <rPh sb="3" eb="5">
      <t>タイショウ</t>
    </rPh>
    <rPh sb="5" eb="6">
      <t>ツ</t>
    </rPh>
    <rPh sb="7" eb="9">
      <t>キカン</t>
    </rPh>
    <phoneticPr fontId="2"/>
  </si>
  <si>
    <t xml:space="preserve">②法定準備預金額  </t>
    <rPh sb="1" eb="3">
      <t>ホウテイ</t>
    </rPh>
    <rPh sb="3" eb="5">
      <t>ジュンビ</t>
    </rPh>
    <rPh sb="5" eb="7">
      <t>ヨキン</t>
    </rPh>
    <rPh sb="7" eb="8">
      <t>ガク</t>
    </rPh>
    <phoneticPr fontId="2"/>
  </si>
  <si>
    <t xml:space="preserve">③基準比率        </t>
    <rPh sb="1" eb="3">
      <t>キジュン</t>
    </rPh>
    <rPh sb="3" eb="5">
      <t>ヒリツ</t>
    </rPh>
    <phoneticPr fontId="2"/>
  </si>
  <si>
    <t xml:space="preserve">④加算比率        </t>
    <rPh sb="1" eb="3">
      <t>カサン</t>
    </rPh>
    <rPh sb="3" eb="5">
      <t>ヒリツ</t>
    </rPh>
    <phoneticPr fontId="2"/>
  </si>
  <si>
    <t>1日</t>
    <rPh sb="1" eb="2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</si>
  <si>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</si>
  <si>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</si>
  <si>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</si>
  <si>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</si>
  <si>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</si>
  <si>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</si>
  <si>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</si>
  <si>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</si>
  <si>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</si>
  <si>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</si>
  <si>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</si>
  <si>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</si>
  <si>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</si>
  <si>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</si>
  <si>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</si>
  <si>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</si>
  <si>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</si>
  <si>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</si>
  <si>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</si>
  <si>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</si>
  <si>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</si>
  <si>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</si>
  <si>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</si>
  <si>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</si>
  <si>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</si>
  <si>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</si>
  <si>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</si>
  <si>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</si>
  <si>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</si>
  <si>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</si>
  <si>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＜ＭＲＦ等特則２．（２）適用先＞　　　</t>
    <rPh sb="4" eb="5">
      <t>トウ</t>
    </rPh>
    <rPh sb="5" eb="7">
      <t>トクソク</t>
    </rPh>
    <rPh sb="12" eb="14">
      <t>テキヨウ</t>
    </rPh>
    <rPh sb="14" eb="15">
      <t>サキ</t>
    </rPh>
    <phoneticPr fontId="2"/>
  </si>
  <si>
    <t xml:space="preserve"> ＜新規先＞　</t>
    <rPh sb="2" eb="4">
      <t>シンキ</t>
    </rPh>
    <rPh sb="4" eb="5">
      <t>サキ</t>
    </rPh>
    <phoneticPr fontId="2"/>
  </si>
  <si>
    <t>基準平均残高
×基準比率</t>
    <rPh sb="0" eb="6">
      <t>キジュンヘイキンザンダカ</t>
    </rPh>
    <rPh sb="8" eb="12">
      <t>キジュンヒリツ</t>
    </rPh>
    <phoneticPr fontId="2"/>
  </si>
  <si>
    <t>法定準備預金額</t>
    <rPh sb="0" eb="7">
      <t>ホウテイジュンビヨキンガク</t>
    </rPh>
    <phoneticPr fontId="3"/>
  </si>
  <si>
    <t>基礎残高</t>
    <rPh sb="0" eb="4">
      <t>キソザンダカ</t>
    </rPh>
    <phoneticPr fontId="3"/>
  </si>
  <si>
    <t>＜ＭＲＦ等特則２．（１）適用先＞</t>
    <phoneticPr fontId="2"/>
  </si>
  <si>
    <t>ＭＲＦ等特則
による加算枠</t>
    <rPh sb="3" eb="4">
      <t>トウ</t>
    </rPh>
    <rPh sb="4" eb="6">
      <t>トクソク</t>
    </rPh>
    <rPh sb="10" eb="12">
      <t>カサン</t>
    </rPh>
    <rPh sb="12" eb="13">
      <t>ワク</t>
    </rPh>
    <phoneticPr fontId="2"/>
  </si>
  <si>
    <t>政策金利残高
（細則４．（４））</t>
    <rPh sb="0" eb="6">
      <t>セイサクキンリザンダカ</t>
    </rPh>
    <rPh sb="8" eb="10">
      <t>サイソク</t>
    </rPh>
    <phoneticPr fontId="3"/>
  </si>
  <si>
    <t>マクロ
加算残高</t>
    <rPh sb="4" eb="8">
      <t>カサンザンダカ</t>
    </rPh>
    <phoneticPr fontId="3"/>
  </si>
  <si>
    <r>
      <t>基礎残高</t>
    </r>
    <r>
      <rPr>
        <b/>
        <sz val="17"/>
        <color indexed="10"/>
        <rFont val="ＭＳ ゴシック"/>
        <family val="3"/>
        <charset val="128"/>
      </rPr>
      <t xml:space="preserve">【ⅵ】
</t>
    </r>
    <r>
      <rPr>
        <sz val="17"/>
        <color theme="1"/>
        <rFont val="ＭＳ ゴシック"/>
        <family val="3"/>
        <charset val="128"/>
      </rPr>
      <t>（細則４．（２））</t>
    </r>
    <rPh sb="0" eb="4">
      <t>キソザンダカ</t>
    </rPh>
    <phoneticPr fontId="3"/>
  </si>
  <si>
    <r>
      <t>マクロ加算残高</t>
    </r>
    <r>
      <rPr>
        <b/>
        <sz val="17"/>
        <color indexed="10"/>
        <rFont val="ＭＳ ゴシック"/>
        <family val="3"/>
        <charset val="128"/>
      </rPr>
      <t xml:space="preserve">【ⅶ】
</t>
    </r>
    <r>
      <rPr>
        <sz val="17"/>
        <color theme="1"/>
        <rFont val="ＭＳ ゴシック"/>
        <family val="3"/>
        <charset val="128"/>
      </rPr>
      <t>（細則４．（３））</t>
    </r>
    <rPh sb="3" eb="7">
      <t>カサンザンダカ</t>
    </rPh>
    <phoneticPr fontId="3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</si>
  <si>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【ⅷ】</t>
    </r>
    <rPh sb="0" eb="3">
      <t>ジョウゲンチ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</si>
  <si>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【ⅷ－ⅴ】</t>
    </r>
    <rPh sb="0" eb="3">
      <t>ミリヨウ</t>
    </rPh>
    <rPh sb="3" eb="4">
      <t>ワク</t>
    </rPh>
    <phoneticPr fontId="2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</si>
  <si>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【ⅸ】</t>
    </r>
    <rPh sb="0" eb="3">
      <t>ジョウゲンチ</t>
    </rPh>
    <phoneticPr fontId="2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</si>
  <si>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【ⅹ】</t>
    </r>
    <rPh sb="0" eb="3">
      <t>ジョウゲンチ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</si>
  <si>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【ⅸ－ⅵ】</t>
    </r>
    <rPh sb="0" eb="3">
      <t>ミリヨウ</t>
    </rPh>
    <rPh sb="3" eb="4">
      <t>ワク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</si>
  <si>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【ⅹ－ⅶ】</t>
    </r>
    <rPh sb="0" eb="3">
      <t>ミリヨウ</t>
    </rPh>
    <rPh sb="3" eb="4">
      <t>ワク</t>
    </rPh>
    <phoneticPr fontId="2"/>
  </si>
  <si>
    <r>
      <t xml:space="preserve"> 付利対象積み期間における
 対象預金の金額</t>
    </r>
    <r>
      <rPr>
        <b/>
        <sz val="17"/>
        <color rgb="FFFF0000"/>
        <rFont val="ＭＳ ゴシック"/>
        <family val="3"/>
        <charset val="128"/>
      </rPr>
      <t>【ⅰ】</t>
    </r>
    <rPh sb="1" eb="3">
      <t>フリ</t>
    </rPh>
    <rPh sb="3" eb="5">
      <t>タイショウ</t>
    </rPh>
    <rPh sb="5" eb="6">
      <t>ツ</t>
    </rPh>
    <rPh sb="7" eb="9">
      <t>キカン</t>
    </rPh>
    <rPh sb="15" eb="17">
      <t>タイショウ</t>
    </rPh>
    <rPh sb="17" eb="19">
      <t>ヨキン</t>
    </rPh>
    <rPh sb="20" eb="22">
      <t>キンガク</t>
    </rPh>
    <phoneticPr fontId="2"/>
  </si>
  <si>
    <r>
      <rPr>
        <sz val="17"/>
        <rFont val="ＭＳ ゴシック"/>
        <family val="3"/>
        <charset val="128"/>
      </rPr>
      <t>マクロ加算残高
（上限値）</t>
    </r>
    <r>
      <rPr>
        <sz val="16"/>
        <rFont val="ＭＳ ゴシック"/>
        <family val="3"/>
        <charset val="128"/>
      </rPr>
      <t xml:space="preserve">
</t>
    </r>
    <r>
      <rPr>
        <b/>
        <sz val="17"/>
        <color indexed="10"/>
        <rFont val="ＭＳ ゴシック"/>
        <family val="3"/>
        <charset val="128"/>
      </rPr>
      <t>【ⅳ】</t>
    </r>
    <rPh sb="3" eb="7">
      <t>カサンザンダカ</t>
    </rPh>
    <rPh sb="9" eb="11">
      <t>ジョウゲン</t>
    </rPh>
    <rPh sb="11" eb="12">
      <t>ネ</t>
    </rPh>
    <phoneticPr fontId="2"/>
  </si>
  <si>
    <r>
      <t xml:space="preserve">基礎残高
（上限値）
</t>
    </r>
    <r>
      <rPr>
        <b/>
        <sz val="17"/>
        <color indexed="10"/>
        <rFont val="ＭＳ ゴシック"/>
        <family val="3"/>
        <charset val="128"/>
      </rPr>
      <t>【ⅲ】</t>
    </r>
    <rPh sb="0" eb="2">
      <t>キソ</t>
    </rPh>
    <rPh sb="2" eb="4">
      <t>ザンダカ</t>
    </rPh>
    <rPh sb="6" eb="8">
      <t>ジョウゲン</t>
    </rPh>
    <rPh sb="8" eb="9">
      <t>チ</t>
    </rPh>
    <phoneticPr fontId="2"/>
  </si>
  <si>
    <r>
      <rPr>
        <sz val="17"/>
        <rFont val="ＭＳ ゴシック"/>
        <family val="3"/>
        <charset val="128"/>
      </rPr>
      <t>法定準備預金額
（上限値）</t>
    </r>
    <r>
      <rPr>
        <sz val="17"/>
        <color indexed="10"/>
        <rFont val="ＭＳ ゴシック"/>
        <family val="3"/>
        <charset val="128"/>
      </rPr>
      <t xml:space="preserve">
</t>
    </r>
    <r>
      <rPr>
        <b/>
        <sz val="17"/>
        <color indexed="10"/>
        <rFont val="ＭＳ ゴシック"/>
        <family val="3"/>
        <charset val="128"/>
      </rPr>
      <t>【ⅱ】</t>
    </r>
    <rPh sb="0" eb="7">
      <t>ホウテイジュンビヨキンガク</t>
    </rPh>
    <rPh sb="9" eb="11">
      <t>ジョウゲン</t>
    </rPh>
    <rPh sb="11" eb="12">
      <t>チ</t>
    </rPh>
    <phoneticPr fontId="2"/>
  </si>
  <si>
    <r>
      <t xml:space="preserve">⑤対象預金の
残高
</t>
    </r>
    <r>
      <rPr>
        <b/>
        <sz val="17"/>
        <color indexed="10"/>
        <rFont val="ＭＳ ゴシック"/>
        <family val="3"/>
        <charset val="128"/>
      </rPr>
      <t>【ⅰ】</t>
    </r>
    <rPh sb="1" eb="3">
      <t>タイショウ</t>
    </rPh>
    <rPh sb="3" eb="5">
      <t>ヨキン</t>
    </rPh>
    <rPh sb="7" eb="9">
      <t>ザンダカ</t>
    </rPh>
    <phoneticPr fontId="2"/>
  </si>
  <si>
    <t>＜マクロ加算残高枠の圧縮（細則４．（３）ニ．（イ））＞　</t>
    <rPh sb="4" eb="9">
      <t>カサンザンダカワク</t>
    </rPh>
    <rPh sb="10" eb="12">
      <t>アッシュク</t>
    </rPh>
    <phoneticPr fontId="2"/>
  </si>
  <si>
    <t>＜マクロ加算残高枠の圧縮（細則４．（３）ニ．（ロ））＞　</t>
    <rPh sb="4" eb="9">
      <t>カサンザンダカワク</t>
    </rPh>
    <rPh sb="10" eb="12">
      <t>アッシュク</t>
    </rPh>
    <phoneticPr fontId="2"/>
  </si>
  <si>
    <r>
      <t>法定準備預金額</t>
    </r>
    <r>
      <rPr>
        <b/>
        <sz val="17"/>
        <color rgb="FFFF0000"/>
        <rFont val="ＭＳ ゴシック"/>
        <family val="3"/>
        <charset val="128"/>
      </rPr>
      <t>【ⅴ】</t>
    </r>
    <r>
      <rPr>
        <sz val="17"/>
        <rFont val="ＭＳ ゴシック"/>
        <family val="3"/>
        <charset val="128"/>
      </rPr>
      <t xml:space="preserve">
（細則４．（１））</t>
    </r>
    <rPh sb="0" eb="7">
      <t>ホウテイジュンビヨキンガク</t>
    </rPh>
    <rPh sb="12" eb="14">
      <t>サイソク</t>
    </rPh>
    <phoneticPr fontId="3"/>
  </si>
  <si>
    <t>マクロ加算残高の利用
実績が50％未満</t>
    <rPh sb="3" eb="5">
      <t>カサン</t>
    </rPh>
    <rPh sb="5" eb="7">
      <t>ザンダカ</t>
    </rPh>
    <rPh sb="8" eb="10">
      <t>リヨウ</t>
    </rPh>
    <rPh sb="11" eb="13">
      <t>ジッセキ</t>
    </rPh>
    <rPh sb="17" eb="19">
      <t>ミマン</t>
    </rPh>
    <phoneticPr fontId="2"/>
  </si>
  <si>
    <t>圧縮枠</t>
    <rPh sb="0" eb="2">
      <t>アッシュク</t>
    </rPh>
    <rPh sb="2" eb="3">
      <t>ワク</t>
    </rPh>
    <phoneticPr fontId="2"/>
  </si>
  <si>
    <t>参　考</t>
    <rPh sb="0" eb="1">
      <t>サン</t>
    </rPh>
    <rPh sb="2" eb="3">
      <t>コウ</t>
    </rPh>
    <phoneticPr fontId="2"/>
  </si>
  <si>
    <r>
      <rPr>
        <sz val="17"/>
        <color theme="1"/>
        <rFont val="ＭＳ ゴシック"/>
        <family val="3"/>
        <charset val="128"/>
      </rPr>
      <t>政策金利残高</t>
    </r>
    <r>
      <rPr>
        <sz val="16"/>
        <color theme="1"/>
        <rFont val="ＭＳ ゴシック"/>
        <family val="3"/>
        <charset val="128"/>
      </rPr>
      <t xml:space="preserve">
</t>
    </r>
    <r>
      <rPr>
        <b/>
        <sz val="17"/>
        <color rgb="FFFF0000"/>
        <rFont val="ＭＳ ゴシック"/>
        <family val="3"/>
        <charset val="128"/>
      </rPr>
      <t>【ⅰ－
ⅱ－ⅲ－ⅳ】</t>
    </r>
    <rPh sb="0" eb="6">
      <t>セイサクキンリザンダカ</t>
    </rPh>
    <phoneticPr fontId="2"/>
  </si>
  <si>
    <r>
      <t xml:space="preserve">
</t>
    </r>
    <r>
      <rPr>
        <sz val="17"/>
        <rFont val="ＭＳ ゴシック"/>
        <family val="3"/>
        <charset val="128"/>
      </rPr>
      <t>⑥対象借入れの
残高（オペ１階）</t>
    </r>
    <r>
      <rPr>
        <sz val="16"/>
        <rFont val="ＭＳ ゴシック"/>
        <family val="3"/>
        <charset val="128"/>
      </rPr>
      <t xml:space="preserve">
</t>
    </r>
    <rPh sb="2" eb="6">
      <t>タイショウカリイレ</t>
    </rPh>
    <rPh sb="9" eb="11">
      <t>ザンダカ</t>
    </rPh>
    <rPh sb="15" eb="16">
      <t>カイ</t>
    </rPh>
    <phoneticPr fontId="2"/>
  </si>
  <si>
    <t>＜各シートへのリンク＞</t>
    <rPh sb="1" eb="2">
      <t>カク</t>
    </rPh>
    <phoneticPr fontId="2"/>
  </si>
  <si>
    <t xml:space="preserve">
</t>
    <phoneticPr fontId="2"/>
  </si>
  <si>
    <t xml:space="preserve">
⑦ ⑥のうち新型コロナ対応金融支援特別オペ（制度融資分）</t>
    <phoneticPr fontId="2"/>
  </si>
  <si>
    <t>マクロ加算残高枠（法定準備預金額を除く）</t>
    <rPh sb="3" eb="5">
      <t>カサン</t>
    </rPh>
    <rPh sb="5" eb="7">
      <t>ザンダカ</t>
    </rPh>
    <rPh sb="7" eb="8">
      <t>ワク</t>
    </rPh>
    <rPh sb="9" eb="16">
      <t>ホウテイジュンビヨキンガク</t>
    </rPh>
    <rPh sb="17" eb="18">
      <t>ノゾ</t>
    </rPh>
    <phoneticPr fontId="2"/>
  </si>
  <si>
    <r>
      <t>①～⑥：</t>
    </r>
    <r>
      <rPr>
        <b/>
        <u/>
        <sz val="17"/>
        <rFont val="ＭＳ ゴシック"/>
        <family val="3"/>
        <charset val="128"/>
      </rPr>
      <t>全ての対象先が入力（毎積み期の更新が必要）</t>
    </r>
    <rPh sb="4" eb="5">
      <t>スベ</t>
    </rPh>
    <rPh sb="7" eb="9">
      <t>タイショウ</t>
    </rPh>
    <rPh sb="9" eb="10">
      <t>サキ</t>
    </rPh>
    <rPh sb="11" eb="13">
      <t>ニュウリョク</t>
    </rPh>
    <rPh sb="14" eb="15">
      <t>マイ</t>
    </rPh>
    <rPh sb="15" eb="16">
      <t>ツ</t>
    </rPh>
    <rPh sb="17" eb="18">
      <t>キ</t>
    </rPh>
    <rPh sb="19" eb="21">
      <t>コウシン</t>
    </rPh>
    <rPh sb="22" eb="24">
      <t>ヒツヨウ</t>
    </rPh>
    <phoneticPr fontId="2"/>
  </si>
  <si>
    <r>
      <t>⑦,⑧：</t>
    </r>
    <r>
      <rPr>
        <b/>
        <u/>
        <sz val="17"/>
        <rFont val="ＭＳ ゴシック"/>
        <family val="3"/>
        <charset val="128"/>
      </rPr>
      <t>全ての対象先が入力（毎積み期の更新は不要）</t>
    </r>
    <rPh sb="4" eb="5">
      <t>スベ</t>
    </rPh>
    <rPh sb="7" eb="9">
      <t>タイショウ</t>
    </rPh>
    <rPh sb="9" eb="10">
      <t>サキ</t>
    </rPh>
    <rPh sb="11" eb="13">
      <t>ニュウリョク</t>
    </rPh>
    <rPh sb="14" eb="15">
      <t>マイ</t>
    </rPh>
    <rPh sb="15" eb="16">
      <t>ツ</t>
    </rPh>
    <rPh sb="17" eb="18">
      <t>キ</t>
    </rPh>
    <rPh sb="19" eb="21">
      <t>コウシン</t>
    </rPh>
    <rPh sb="22" eb="24">
      <t>フヨウ</t>
    </rPh>
    <phoneticPr fontId="2"/>
  </si>
  <si>
    <t xml:space="preserve">⑦基準平均残高（年間積数） 　　  </t>
    <rPh sb="1" eb="3">
      <t>キジュン</t>
    </rPh>
    <rPh sb="3" eb="5">
      <t>ヘイキン</t>
    </rPh>
    <rPh sb="5" eb="7">
      <t>ザンダカ</t>
    </rPh>
    <rPh sb="8" eb="10">
      <t>ネンカン</t>
    </rPh>
    <rPh sb="10" eb="12">
      <t>セキスウ</t>
    </rPh>
    <phoneticPr fontId="2"/>
  </si>
  <si>
    <r>
      <t>⑧対象借入れの残高（</t>
    </r>
    <r>
      <rPr>
        <u/>
        <sz val="17"/>
        <color rgb="FFFF0000"/>
        <rFont val="ＭＳ ゴシック"/>
        <family val="3"/>
        <charset val="128"/>
      </rPr>
      <t>2016年3月末</t>
    </r>
    <r>
      <rPr>
        <sz val="17"/>
        <rFont val="ＭＳ ゴシック"/>
        <family val="3"/>
        <charset val="128"/>
      </rPr>
      <t>）</t>
    </r>
    <rPh sb="1" eb="5">
      <t>タイショウカリイレ</t>
    </rPh>
    <rPh sb="7" eb="9">
      <t>ザンダカ</t>
    </rPh>
    <phoneticPr fontId="2"/>
  </si>
  <si>
    <r>
      <t>⑨～⑭：</t>
    </r>
    <r>
      <rPr>
        <b/>
        <u/>
        <sz val="17"/>
        <rFont val="ＭＳ ゴシック"/>
        <family val="3"/>
        <charset val="128"/>
      </rPr>
      <t>該当先のみ入力（非該当先は空欄とする）</t>
    </r>
    <rPh sb="4" eb="6">
      <t>ガイトウ</t>
    </rPh>
    <rPh sb="6" eb="7">
      <t>サキ</t>
    </rPh>
    <rPh sb="9" eb="11">
      <t>ニュウリョク</t>
    </rPh>
    <rPh sb="12" eb="13">
      <t>ヒ</t>
    </rPh>
    <rPh sb="13" eb="15">
      <t>ガイトウ</t>
    </rPh>
    <rPh sb="15" eb="16">
      <t>サキ</t>
    </rPh>
    <rPh sb="17" eb="19">
      <t>クウラン</t>
    </rPh>
    <phoneticPr fontId="2"/>
  </si>
  <si>
    <t>⑨日本銀行に報告する金額　</t>
    <rPh sb="1" eb="5">
      <t>ニホンギンコウ</t>
    </rPh>
    <rPh sb="6" eb="8">
      <t>ホウコク</t>
    </rPh>
    <rPh sb="10" eb="12">
      <t>キンガク</t>
    </rPh>
    <phoneticPr fontId="2"/>
  </si>
  <si>
    <t>⑩日本銀行が通知する金額　　　</t>
    <rPh sb="1" eb="5">
      <t>ニホンギンコウ</t>
    </rPh>
    <rPh sb="6" eb="8">
      <t>ツウチ</t>
    </rPh>
    <rPh sb="10" eb="12">
      <t>キンガク</t>
    </rPh>
    <phoneticPr fontId="2"/>
  </si>
  <si>
    <t>⑪みなし基準平均残高（年間積数）</t>
    <rPh sb="4" eb="6">
      <t>キジュン</t>
    </rPh>
    <rPh sb="6" eb="8">
      <t>ヘイキン</t>
    </rPh>
    <rPh sb="8" eb="10">
      <t>ザンダカ</t>
    </rPh>
    <rPh sb="11" eb="13">
      <t>ネンカン</t>
    </rPh>
    <rPh sb="13" eb="15">
      <t>セキスウ</t>
    </rPh>
    <phoneticPr fontId="2"/>
  </si>
  <si>
    <t>⑫みなし基準期間の日数　　　　　</t>
    <rPh sb="4" eb="6">
      <t>キジュン</t>
    </rPh>
    <rPh sb="6" eb="8">
      <t>キカン</t>
    </rPh>
    <rPh sb="9" eb="11">
      <t>ニッスウ</t>
    </rPh>
    <phoneticPr fontId="2"/>
  </si>
  <si>
    <t>オペ２階
（⑥－⑧）</t>
    <rPh sb="3" eb="4">
      <t>カイ</t>
    </rPh>
    <phoneticPr fontId="2"/>
  </si>
  <si>
    <t>⑬該当先は「○」を選択</t>
    <phoneticPr fontId="2"/>
  </si>
  <si>
    <t>⑭日本銀行への申出金額</t>
    <rPh sb="1" eb="5">
      <t>ニホンギンコウ</t>
    </rPh>
    <rPh sb="7" eb="9">
      <t>モウシデ</t>
    </rPh>
    <rPh sb="9" eb="11">
      <t>キンガク</t>
    </rPh>
    <phoneticPr fontId="2"/>
  </si>
  <si>
    <t>期間A：3/16日～3/20日</t>
    <rPh sb="0" eb="2">
      <t>キカン</t>
    </rPh>
    <rPh sb="8" eb="9">
      <t>ニチ</t>
    </rPh>
    <rPh sb="14" eb="15">
      <t>ニチ</t>
    </rPh>
    <phoneticPr fontId="2"/>
  </si>
  <si>
    <t>期間B：3/21日～4/15日</t>
    <rPh sb="0" eb="2">
      <t>キカン</t>
    </rPh>
    <rPh sb="8" eb="9">
      <t>ニチ</t>
    </rPh>
    <rPh sb="14" eb="15">
      <t>ニチ</t>
    </rPh>
    <phoneticPr fontId="2"/>
  </si>
  <si>
    <r>
      <t>＜付利対象残高</t>
    </r>
    <r>
      <rPr>
        <b/>
        <sz val="24"/>
        <color rgb="FFFF0000"/>
        <rFont val="ＭＳ ゴシック"/>
        <family val="3"/>
        <charset val="128"/>
      </rPr>
      <t>A</t>
    </r>
    <r>
      <rPr>
        <b/>
        <sz val="24"/>
        <color theme="1"/>
        <rFont val="ＭＳ ゴシック"/>
        <family val="3"/>
        <charset val="128"/>
      </rPr>
      <t>（積数ベース）＞</t>
    </r>
    <rPh sb="1" eb="5">
      <t>フリタイショウ</t>
    </rPh>
    <rPh sb="5" eb="7">
      <t>ザンダカ</t>
    </rPh>
    <rPh sb="9" eb="11">
      <t>セキスウ</t>
    </rPh>
    <phoneticPr fontId="2"/>
  </si>
  <si>
    <r>
      <t>＜付利対象残高</t>
    </r>
    <r>
      <rPr>
        <b/>
        <sz val="24"/>
        <color rgb="FFFF0000"/>
        <rFont val="ＭＳ ゴシック"/>
        <family val="3"/>
        <charset val="128"/>
      </rPr>
      <t>B</t>
    </r>
    <r>
      <rPr>
        <b/>
        <sz val="24"/>
        <color theme="1"/>
        <rFont val="ＭＳ ゴシック"/>
        <family val="3"/>
        <charset val="128"/>
      </rPr>
      <t>（積数ベース）＞</t>
    </r>
    <rPh sb="1" eb="5">
      <t>フリタイショウ</t>
    </rPh>
    <rPh sb="5" eb="7">
      <t>ザンダカ</t>
    </rPh>
    <rPh sb="9" eb="11">
      <t>セキスウ</t>
    </rPh>
    <phoneticPr fontId="2"/>
  </si>
  <si>
    <t>利率</t>
    <rPh sb="0" eb="2">
      <t>リリツ</t>
    </rPh>
    <phoneticPr fontId="2"/>
  </si>
  <si>
    <t>利息</t>
    <rPh sb="0" eb="2">
      <t>リソク</t>
    </rPh>
    <phoneticPr fontId="2"/>
  </si>
  <si>
    <t>利息
総計</t>
    <rPh sb="0" eb="2">
      <t>リソク</t>
    </rPh>
    <rPh sb="3" eb="5">
      <t>ソウケイ</t>
    </rPh>
    <rPh sb="4" eb="5">
      <t>ケイ</t>
    </rPh>
    <phoneticPr fontId="2"/>
  </si>
  <si>
    <r>
      <t>＜付利対象残高枠</t>
    </r>
    <r>
      <rPr>
        <b/>
        <sz val="24"/>
        <color rgb="FFFF0000"/>
        <rFont val="ＭＳ ゴシック"/>
        <family val="3"/>
        <charset val="128"/>
      </rPr>
      <t>A</t>
    </r>
    <r>
      <rPr>
        <b/>
        <sz val="24"/>
        <color theme="1"/>
        <rFont val="ＭＳ ゴシック"/>
        <family val="3"/>
        <charset val="128"/>
      </rPr>
      <t>の利用状況＞</t>
    </r>
    <rPh sb="1" eb="3">
      <t>フリ</t>
    </rPh>
    <rPh sb="3" eb="5">
      <t>タイショウ</t>
    </rPh>
    <rPh sb="5" eb="7">
      <t>ザンダカ</t>
    </rPh>
    <rPh sb="7" eb="8">
      <t>ワク</t>
    </rPh>
    <rPh sb="10" eb="12">
      <t>リヨウ</t>
    </rPh>
    <rPh sb="12" eb="14">
      <t>ジョウキョウ</t>
    </rPh>
    <phoneticPr fontId="2"/>
  </si>
  <si>
    <r>
      <t>＜付利対象残高枠</t>
    </r>
    <r>
      <rPr>
        <b/>
        <sz val="24"/>
        <color rgb="FFFF0000"/>
        <rFont val="ＭＳ ゴシック"/>
        <family val="3"/>
        <charset val="128"/>
      </rPr>
      <t>B</t>
    </r>
    <r>
      <rPr>
        <b/>
        <sz val="24"/>
        <color theme="1"/>
        <rFont val="ＭＳ ゴシック"/>
        <family val="3"/>
        <charset val="128"/>
      </rPr>
      <t>の利用状況＞</t>
    </r>
    <rPh sb="1" eb="3">
      <t>フリ</t>
    </rPh>
    <rPh sb="3" eb="5">
      <t>タイショウ</t>
    </rPh>
    <rPh sb="5" eb="7">
      <t>ザンダカ</t>
    </rPh>
    <rPh sb="7" eb="8">
      <t>ワク</t>
    </rPh>
    <rPh sb="10" eb="12">
      <t>リヨウ</t>
    </rPh>
    <rPh sb="12" eb="14">
      <t>ジョウキョウ</t>
    </rPh>
    <phoneticPr fontId="2"/>
  </si>
  <si>
    <r>
      <t>法定準備預金額</t>
    </r>
    <r>
      <rPr>
        <b/>
        <sz val="17"/>
        <color rgb="FFFF0000"/>
        <rFont val="ＭＳ ゴシック"/>
        <family val="3"/>
        <charset val="128"/>
      </rPr>
      <t>【ⅺ】</t>
    </r>
    <r>
      <rPr>
        <sz val="17"/>
        <rFont val="ＭＳ ゴシック"/>
        <family val="3"/>
        <charset val="128"/>
      </rPr>
      <t xml:space="preserve">
（細則４．（１））</t>
    </r>
    <rPh sb="0" eb="7">
      <t>ホウテイジュンビヨキンガク</t>
    </rPh>
    <rPh sb="12" eb="14">
      <t>サイソク</t>
    </rPh>
    <phoneticPr fontId="3"/>
  </si>
  <si>
    <r>
      <t>基礎残高</t>
    </r>
    <r>
      <rPr>
        <b/>
        <sz val="17"/>
        <color indexed="10"/>
        <rFont val="ＭＳ ゴシック"/>
        <family val="3"/>
        <charset val="128"/>
      </rPr>
      <t xml:space="preserve">【ⅻ】
</t>
    </r>
    <r>
      <rPr>
        <sz val="17"/>
        <color theme="1"/>
        <rFont val="ＭＳ ゴシック"/>
        <family val="3"/>
        <charset val="128"/>
      </rPr>
      <t>（細則４．（２））</t>
    </r>
    <rPh sb="0" eb="4">
      <t>キソザンダカ</t>
    </rPh>
    <phoneticPr fontId="3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</si>
  <si>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【xiv】（ⅷ－ⅴ）</t>
    </r>
    <rPh sb="0" eb="3">
      <t>ジョウゲンチ</t>
    </rPh>
    <phoneticPr fontId="2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</si>
  <si>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【xv】（ⅸ－ⅵ）</t>
    </r>
    <rPh sb="0" eb="3">
      <t>ジョウゲンチ</t>
    </rPh>
    <phoneticPr fontId="2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</si>
  <si>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【xvi】（ⅹ－ⅶ）</t>
    </r>
    <rPh sb="0" eb="3">
      <t>ジョウゲンチ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</si>
  <si>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【xiv－ⅺ】</t>
    </r>
    <rPh sb="0" eb="3">
      <t>ミリヨウ</t>
    </rPh>
    <rPh sb="3" eb="4">
      <t>ワク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</si>
  <si>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【xv－ⅻ】</t>
    </r>
    <rPh sb="0" eb="3">
      <t>ミリヨウ</t>
    </rPh>
    <rPh sb="3" eb="4">
      <t>ワク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</si>
  <si>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【xvi－</t>
    </r>
    <r>
      <rPr>
        <b/>
        <sz val="14"/>
        <color indexed="10"/>
        <rFont val="ＭＳ ゴシック"/>
        <family val="3"/>
        <charset val="128"/>
      </rPr>
      <t>Xⅲ</t>
    </r>
    <r>
      <rPr>
        <b/>
        <sz val="17"/>
        <color indexed="10"/>
        <rFont val="ＭＳ ゴシック"/>
        <family val="3"/>
        <charset val="128"/>
      </rPr>
      <t>】</t>
    </r>
    <rPh sb="0" eb="3">
      <t>ミリヨウ</t>
    </rPh>
    <rPh sb="3" eb="4">
      <t>ワク</t>
    </rPh>
    <phoneticPr fontId="2"/>
  </si>
  <si>
    <t>補完当座預金制度における付利対象残高試算ツール（2024年3月積み期間）</t>
    <rPh sb="0" eb="2">
      <t>ホカン</t>
    </rPh>
    <rPh sb="2" eb="4">
      <t>トウザ</t>
    </rPh>
    <rPh sb="4" eb="6">
      <t>ヨキン</t>
    </rPh>
    <rPh sb="6" eb="8">
      <t>セイド</t>
    </rPh>
    <rPh sb="12" eb="14">
      <t>フリ</t>
    </rPh>
    <rPh sb="14" eb="16">
      <t>タイショウ</t>
    </rPh>
    <rPh sb="16" eb="18">
      <t>ザンダカ</t>
    </rPh>
    <rPh sb="18" eb="20">
      <t>シサン</t>
    </rPh>
    <rPh sb="31" eb="32">
      <t>ツ</t>
    </rPh>
    <rPh sb="33" eb="35">
      <t>キカン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</si>
  <si>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【xvi－xⅲ】</t>
    </r>
    <rPh sb="0" eb="3">
      <t>ミリヨウ</t>
    </rPh>
    <rPh sb="3" eb="4">
      <t>ワク</t>
    </rPh>
    <phoneticPr fontId="2"/>
  </si>
  <si>
    <r>
      <t>マクロ加算残高</t>
    </r>
    <r>
      <rPr>
        <b/>
        <sz val="17"/>
        <color indexed="10"/>
        <rFont val="ＭＳ ゴシック"/>
        <family val="3"/>
        <charset val="128"/>
      </rPr>
      <t xml:space="preserve">【xⅲ】
</t>
    </r>
    <r>
      <rPr>
        <sz val="17"/>
        <color theme="1"/>
        <rFont val="ＭＳ ゴシック"/>
        <family val="3"/>
        <charset val="128"/>
      </rPr>
      <t>（細則４．（３））</t>
    </r>
    <rPh sb="3" eb="7">
      <t>カサンザンダカ</t>
    </rPh>
    <phoneticPr fontId="3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</si>
  <si>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【x】</t>
    </r>
    <rPh sb="0" eb="3">
      <t>ジョウゲンチ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</si>
  <si>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【x－ⅶ】</t>
    </r>
    <rPh sb="0" eb="3">
      <t>ミリヨウ</t>
    </rPh>
    <rPh sb="3" eb="4">
      <t>ワク</t>
    </rPh>
    <phoneticPr fontId="2"/>
  </si>
  <si>
    <r>
      <t xml:space="preserve">上限値
</t>
    </r>
    <r>
      <rPr>
        <b/>
        <sz val="17"/>
        <color indexed="10"/>
        <rFont val="ＭＳ ゴシック"/>
        <family val="3"/>
        <charset val="128"/>
      </rPr>
      <t>【xvi】（x－ⅶ）</t>
    </r>
    <rPh sb="0" eb="3">
      <t>ジョウゲンチ</t>
    </rPh>
    <phoneticPr fontId="2"/>
  </si>
  <si>
    <r>
      <t xml:space="preserve">未利用枠
</t>
    </r>
    <r>
      <rPr>
        <b/>
        <sz val="17"/>
        <color indexed="10"/>
        <rFont val="ＭＳ ゴシック"/>
        <family val="3"/>
        <charset val="128"/>
      </rPr>
      <t>【xvi－xⅲ</t>
    </r>
    <r>
      <rPr>
        <b/>
        <sz val="17"/>
        <color indexed="10"/>
        <rFont val="ＭＳ ゴシック"/>
        <family val="3"/>
        <charset val="128"/>
      </rPr>
      <t>】</t>
    </r>
    <rPh sb="0" eb="3">
      <t>ミリヨウ</t>
    </rPh>
    <rPh sb="3" eb="4">
      <t>ワク</t>
    </rPh>
    <phoneticPr fontId="2"/>
  </si>
  <si>
    <r>
      <t>●「補完当座預金制度における付利対象残高試算ツール」（以下、「本ツール」といいます。）は、補完当座預金制度の対象先において、付利対象残高を、適用利率別に、日次ベースおよび積数ベースで確認・試算できるようにするため、日本銀行が作成したものです。
●</t>
    </r>
    <r>
      <rPr>
        <b/>
        <sz val="16"/>
        <color rgb="FF0070C0"/>
        <rFont val="ＭＳ Ｐゴシック"/>
        <family val="3"/>
        <charset val="128"/>
        <scheme val="major"/>
      </rPr>
      <t>「入力シート」</t>
    </r>
    <r>
      <rPr>
        <b/>
        <sz val="16"/>
        <rFont val="ＭＳ Ｐゴシック"/>
        <family val="3"/>
        <charset val="128"/>
        <scheme val="major"/>
      </rPr>
      <t>の項目（①～⑭）に数値を入力することで、確認・試算することができますので、ご活用ください。</t>
    </r>
    <r>
      <rPr>
        <b/>
        <sz val="16"/>
        <color theme="5"/>
        <rFont val="ＭＳ Ｐゴシック"/>
        <family val="3"/>
        <charset val="128"/>
        <scheme val="major"/>
      </rPr>
      <t xml:space="preserve">
</t>
    </r>
    <r>
      <rPr>
        <b/>
        <sz val="16"/>
        <rFont val="ＭＳ Ｐゴシック"/>
        <family val="3"/>
        <charset val="128"/>
        <scheme val="major"/>
      </rPr>
      <t xml:space="preserve">
●入力にあたっては、下記のリンクより、</t>
    </r>
    <r>
      <rPr>
        <b/>
        <sz val="16"/>
        <color rgb="FFFF0000"/>
        <rFont val="ＭＳ Ｐゴシック"/>
        <family val="3"/>
        <charset val="128"/>
        <scheme val="major"/>
      </rPr>
      <t>「入力ポイント（よくあるミス等）」</t>
    </r>
    <r>
      <rPr>
        <b/>
        <sz val="16"/>
        <rFont val="ＭＳ Ｐゴシック"/>
        <family val="3"/>
        <charset val="128"/>
        <scheme val="major"/>
      </rPr>
      <t xml:space="preserve">をご一読ください。また、「入力例」もご参照ください。
●本ツールで用いる用語の定義は、「補完当座預金制度に関する細則」（各シートでは「細則」と記載しています。）によります。また、本ツールによる計算過程の詳細については、日本銀行ホームページの「業務上の事務連絡」に掲載している「【解説資料】補完当座預金制度における２０２４年３月積み期間の預り金利息の計算について」をご参照ください。
</t>
    </r>
    <rPh sb="27" eb="29">
      <t>イカ</t>
    </rPh>
    <rPh sb="188" eb="190">
      <t>カキ</t>
    </rPh>
    <rPh sb="354" eb="358">
      <t>カイセツシリョウ</t>
    </rPh>
    <rPh sb="375" eb="376">
      <t>ネン</t>
    </rPh>
    <rPh sb="377" eb="378">
      <t>ガツ</t>
    </rPh>
    <rPh sb="378" eb="379">
      <t>ツ</t>
    </rPh>
    <rPh sb="380" eb="382">
      <t>キカン</t>
    </rPh>
    <phoneticPr fontId="2"/>
  </si>
  <si>
    <t>　電話番号：03-3277-2331</t>
    <rPh sb="1" eb="5">
      <t>デンワバンゴウ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</si>
</sst>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.0;&quot;▲ &quot;#,##0.0"/>
    <numFmt numFmtId="178" formatCode="#,##0_ "/>
    <numFmt numFmtId="179" formatCode="0_);[Red]\(0\)"/>
    <numFmt numFmtId="180" formatCode="0.0_);[Red]\(0.0\)"/>
    <numFmt numFmtId="181" formatCode="#,##0.0;[Red]\-#,##0.0"/>
  </numFmts>
  <fonts count="48" x14ac:knownFonts="1"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36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color theme="1"/>
      <name val="ＭＳ ゴシック"/>
      <family val="3"/>
      <charset val="128"/>
    </font>
    <font>
      <b/>
      <sz val="17"/>
      <name val="ＭＳ ゴシック"/>
      <family val="3"/>
      <charset val="128"/>
    </font>
    <font>
      <b/>
      <u/>
      <sz val="17"/>
      <name val="ＭＳ ゴシック"/>
      <family val="3"/>
      <charset val="128"/>
    </font>
    <font>
      <sz val="17"/>
      <color rgb="FFFF0000"/>
      <name val="ＭＳ ゴシック"/>
      <family val="3"/>
      <charset val="128"/>
    </font>
    <font>
      <b/>
      <sz val="17"/>
      <color rgb="FFFF0000"/>
      <name val="ＭＳ ゴシック"/>
      <family val="3"/>
      <charset val="128"/>
    </font>
    <font>
      <b/>
      <sz val="17"/>
      <color indexed="10"/>
      <name val="ＭＳ ゴシック"/>
      <family val="3"/>
      <charset val="128"/>
    </font>
    <font>
      <sz val="17"/>
      <color indexed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u/>
      <sz val="17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6"/>
      <color rgb="FF0070C0"/>
      <name val="ＭＳ Ｐゴシック"/>
      <family val="3"/>
      <charset val="128"/>
      <scheme val="major"/>
    </font>
    <font>
      <b/>
      <sz val="16"/>
      <color theme="5"/>
      <name val="ＭＳ Ｐゴシック"/>
      <family val="3"/>
      <charset val="128"/>
      <scheme val="major"/>
    </font>
    <font>
      <sz val="18"/>
      <name val="ＭＳ ゴシック"/>
      <family val="3"/>
      <charset val="128"/>
    </font>
    <font>
      <b/>
      <sz val="24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7"/>
      <color theme="1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6" fillId="0" borderId="0"/>
  </cellStyleXfs>
  <cellXfs count="257">
    <xf numFmtId="0" fontId="0" fillId="0" borderId="0" xfId="0">
      <alignment vertical="center"/>
    </xf>
    <xf numFmtId="0" fontId="8" fillId="0" borderId="0" xfId="0" applyFont="1" applyProtection="1">
      <alignment vertical="center"/>
      <protection hidden="1"/>
    </xf>
    <xf numFmtId="176" fontId="8" fillId="0" borderId="0" xfId="0" applyNumberFormat="1" applyFont="1" applyAlignment="1" applyProtection="1">
      <alignment horizontal="right" vertical="center" shrinkToFit="1"/>
      <protection hidden="1"/>
    </xf>
    <xf numFmtId="176" fontId="8" fillId="0" borderId="0" xfId="0" applyNumberFormat="1" applyFont="1" applyProtection="1">
      <alignment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76" fontId="8" fillId="0" borderId="5" xfId="1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8" fillId="0" borderId="8" xfId="0" applyFont="1" applyFill="1" applyBorder="1" applyProtection="1">
      <alignment vertical="center"/>
      <protection hidden="1"/>
    </xf>
    <xf numFmtId="177" fontId="8" fillId="0" borderId="0" xfId="0" applyNumberFormat="1" applyFont="1" applyProtection="1">
      <alignment vertical="center"/>
      <protection hidden="1"/>
    </xf>
    <xf numFmtId="176" fontId="8" fillId="0" borderId="4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9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0" xfId="1" applyNumberFormat="1" applyFont="1" applyFill="1" applyBorder="1" applyAlignment="1" applyProtection="1">
      <alignment horizontal="right" vertical="center" shrinkToFit="1"/>
      <protection hidden="1"/>
    </xf>
    <xf numFmtId="176" fontId="10" fillId="0" borderId="0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0" xfId="0" applyNumberFormat="1" applyFont="1" applyFill="1" applyBorder="1" applyProtection="1">
      <alignment vertical="center"/>
      <protection hidden="1"/>
    </xf>
    <xf numFmtId="0" fontId="9" fillId="0" borderId="10" xfId="0" applyFont="1" applyBorder="1" applyAlignment="1" applyProtection="1">
      <alignment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shrinkToFit="1"/>
      <protection hidden="1"/>
    </xf>
    <xf numFmtId="0" fontId="9" fillId="0" borderId="10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vertical="center" wrapText="1" shrinkToFit="1"/>
      <protection hidden="1"/>
    </xf>
    <xf numFmtId="0" fontId="5" fillId="0" borderId="0" xfId="0" applyFont="1">
      <alignment vertical="center"/>
    </xf>
    <xf numFmtId="176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9" fillId="0" borderId="0" xfId="0" applyFont="1" applyFill="1" applyProtection="1">
      <alignment vertical="center"/>
      <protection hidden="1"/>
    </xf>
    <xf numFmtId="0" fontId="9" fillId="0" borderId="0" xfId="0" applyFont="1" applyFill="1" applyBorder="1" applyAlignment="1" applyProtection="1">
      <alignment wrapText="1" shrinkToFi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5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8" fillId="0" borderId="7" xfId="0" applyFont="1" applyFill="1" applyBorder="1" applyProtection="1">
      <alignment vertical="center"/>
      <protection hidden="1"/>
    </xf>
    <xf numFmtId="0" fontId="8" fillId="0" borderId="6" xfId="0" applyFont="1" applyFill="1" applyBorder="1" applyProtection="1">
      <alignment vertical="center"/>
      <protection hidden="1"/>
    </xf>
    <xf numFmtId="0" fontId="8" fillId="0" borderId="20" xfId="0" applyFont="1" applyBorder="1" applyProtection="1">
      <alignment vertical="center"/>
      <protection hidden="1"/>
    </xf>
    <xf numFmtId="0" fontId="8" fillId="0" borderId="22" xfId="0" applyFont="1" applyFill="1" applyBorder="1" applyProtection="1">
      <alignment vertical="center"/>
      <protection hidden="1"/>
    </xf>
    <xf numFmtId="0" fontId="8" fillId="0" borderId="23" xfId="0" applyFont="1" applyBorder="1" applyProtection="1">
      <alignment vertical="center"/>
      <protection hidden="1"/>
    </xf>
    <xf numFmtId="0" fontId="8" fillId="0" borderId="24" xfId="0" applyFont="1" applyFill="1" applyBorder="1" applyProtection="1">
      <alignment vertical="center"/>
      <protection hidden="1"/>
    </xf>
    <xf numFmtId="0" fontId="9" fillId="0" borderId="24" xfId="0" applyFont="1" applyFill="1" applyBorder="1" applyAlignment="1" applyProtection="1">
      <alignment horizontal="center" vertical="center" wrapText="1" shrinkToFit="1"/>
      <protection hidden="1"/>
    </xf>
    <xf numFmtId="176" fontId="8" fillId="0" borderId="23" xfId="0" applyNumberFormat="1" applyFont="1" applyBorder="1" applyAlignment="1" applyProtection="1">
      <alignment horizontal="right" vertical="center" shrinkToFit="1"/>
      <protection hidden="1"/>
    </xf>
    <xf numFmtId="0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4" xfId="0" applyNumberFormat="1" applyFont="1" applyFill="1" applyBorder="1" applyAlignment="1" applyProtection="1">
      <alignment horizontal="right" vertical="center" shrinkToFit="1"/>
      <protection hidden="1"/>
    </xf>
    <xf numFmtId="176" fontId="8" fillId="0" borderId="25" xfId="0" applyNumberFormat="1" applyFont="1" applyBorder="1" applyAlignment="1" applyProtection="1">
      <alignment horizontal="right" vertical="center" shrinkToFit="1"/>
      <protection hidden="1"/>
    </xf>
    <xf numFmtId="0" fontId="8" fillId="0" borderId="26" xfId="0" applyFont="1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wrapText="1" shrinkToFit="1"/>
      <protection hidden="1"/>
    </xf>
    <xf numFmtId="17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0" xfId="0" applyNumberFormat="1" applyFont="1" applyFill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horizontal="center" vertical="center"/>
      <protection hidden="1"/>
    </xf>
    <xf numFmtId="0" fontId="4" fillId="3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4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right" vertical="center" shrinkToFit="1"/>
      <protection hidden="1"/>
    </xf>
    <xf numFmtId="0" fontId="20" fillId="0" borderId="2" xfId="0" applyFont="1" applyFill="1" applyBorder="1" applyAlignment="1" applyProtection="1">
      <alignment horizontal="center" vertical="center" wrapText="1" shrinkToFit="1"/>
      <protection hidden="1"/>
    </xf>
    <xf numFmtId="0" fontId="20" fillId="0" borderId="9" xfId="0" applyFont="1" applyBorder="1" applyProtection="1">
      <alignment vertical="center"/>
      <protection hidden="1"/>
    </xf>
    <xf numFmtId="176" fontId="20" fillId="0" borderId="9" xfId="0" applyNumberFormat="1" applyFont="1" applyBorder="1" applyAlignment="1" applyProtection="1">
      <alignment horizontal="right" vertical="center" shrinkToFit="1"/>
      <protection hidden="1"/>
    </xf>
    <xf numFmtId="176" fontId="20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27" xfId="0" applyFont="1" applyFill="1" applyBorder="1" applyProtection="1">
      <alignment vertical="center"/>
      <protection hidden="1"/>
    </xf>
    <xf numFmtId="176" fontId="8" fillId="2" borderId="2" xfId="0" applyNumberFormat="1" applyFont="1" applyFill="1" applyBorder="1" applyAlignment="1" applyProtection="1">
      <alignment vertical="center" shrinkToFit="1"/>
      <protection hidden="1"/>
    </xf>
    <xf numFmtId="0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Protection="1">
      <alignment vertical="center"/>
      <protection hidden="1"/>
    </xf>
    <xf numFmtId="179" fontId="12" fillId="3" borderId="16" xfId="0" applyNumberFormat="1" applyFont="1" applyFill="1" applyBorder="1" applyAlignment="1" applyProtection="1">
      <alignment horizontal="right" vertical="center" shrinkToFit="1"/>
      <protection locked="0"/>
    </xf>
    <xf numFmtId="38" fontId="12" fillId="3" borderId="17" xfId="1" applyFont="1" applyFill="1" applyBorder="1" applyAlignment="1" applyProtection="1">
      <alignment horizontal="right" vertical="center" shrinkToFit="1"/>
      <protection locked="0"/>
    </xf>
    <xf numFmtId="180" fontId="12" fillId="3" borderId="17" xfId="0" applyNumberFormat="1" applyFont="1" applyFill="1" applyBorder="1" applyAlignment="1" applyProtection="1">
      <alignment horizontal="right" vertical="center" shrinkToFit="1"/>
      <protection locked="0"/>
    </xf>
    <xf numFmtId="38" fontId="12" fillId="3" borderId="16" xfId="1" applyFont="1" applyFill="1" applyBorder="1" applyAlignment="1" applyProtection="1">
      <alignment horizontal="right" vertical="center" shrinkToFit="1"/>
      <protection locked="0"/>
    </xf>
    <xf numFmtId="38" fontId="12" fillId="3" borderId="18" xfId="1" applyFont="1" applyFill="1" applyBorder="1" applyAlignment="1" applyProtection="1">
      <alignment horizontal="right" vertical="center" shrinkToFit="1"/>
      <protection locked="0"/>
    </xf>
    <xf numFmtId="38" fontId="12" fillId="4" borderId="18" xfId="1" applyFont="1" applyFill="1" applyBorder="1" applyAlignment="1" applyProtection="1">
      <alignment vertical="center" shrinkToFit="1"/>
      <protection locked="0"/>
    </xf>
    <xf numFmtId="38" fontId="12" fillId="2" borderId="10" xfId="1" applyFont="1" applyFill="1" applyBorder="1" applyAlignment="1" applyProtection="1">
      <alignment horizontal="right" vertical="center" shrinkToFit="1"/>
      <protection hidden="1"/>
    </xf>
    <xf numFmtId="38" fontId="12" fillId="2" borderId="2" xfId="1" applyFont="1" applyFill="1" applyBorder="1" applyAlignment="1" applyProtection="1">
      <alignment horizontal="right" vertical="center" shrinkToFit="1"/>
      <protection hidden="1"/>
    </xf>
    <xf numFmtId="38" fontId="12" fillId="5" borderId="19" xfId="1" applyFont="1" applyFill="1" applyBorder="1" applyAlignment="1" applyProtection="1">
      <alignment horizontal="right" vertical="center" shrinkToFit="1"/>
      <protection locked="0"/>
    </xf>
    <xf numFmtId="38" fontId="12" fillId="2" borderId="1" xfId="1" applyFont="1" applyFill="1" applyBorder="1" applyAlignment="1" applyProtection="1">
      <alignment horizontal="right" vertical="center" shrinkToFit="1"/>
      <protection hidden="1"/>
    </xf>
    <xf numFmtId="38" fontId="12" fillId="0" borderId="0" xfId="1" applyFont="1" applyFill="1" applyBorder="1" applyAlignment="1" applyProtection="1">
      <alignment horizontal="right" vertical="center" shrinkToFit="1"/>
      <protection locked="0"/>
    </xf>
    <xf numFmtId="0" fontId="12" fillId="5" borderId="19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2" xfId="1" applyNumberFormat="1" applyFont="1" applyFill="1" applyBorder="1" applyAlignment="1" applyProtection="1">
      <alignment horizontal="right" vertical="center" shrinkToFit="1"/>
      <protection hidden="1"/>
    </xf>
    <xf numFmtId="176" fontId="11" fillId="2" borderId="2" xfId="1" applyNumberFormat="1" applyFont="1" applyFill="1" applyBorder="1" applyAlignment="1" applyProtection="1">
      <alignment horizontal="right" vertical="center" shrinkToFit="1"/>
      <protection hidden="1"/>
    </xf>
    <xf numFmtId="38" fontId="27" fillId="2" borderId="2" xfId="1" applyFont="1" applyFill="1" applyBorder="1" applyAlignment="1" applyProtection="1">
      <alignment horizontal="right" vertical="center" shrinkToFit="1"/>
      <protection hidden="1"/>
    </xf>
    <xf numFmtId="176" fontId="9" fillId="0" borderId="5" xfId="1" applyNumberFormat="1" applyFont="1" applyFill="1" applyBorder="1" applyAlignment="1" applyProtection="1">
      <alignment horizontal="right" vertical="center" shrinkToFit="1"/>
      <protection hidden="1"/>
    </xf>
    <xf numFmtId="176" fontId="27" fillId="2" borderId="2" xfId="1" applyNumberFormat="1" applyFont="1" applyFill="1" applyBorder="1" applyAlignment="1" applyProtection="1">
      <alignment horizontal="right" vertical="center" shrinkToFit="1"/>
      <protection hidden="1"/>
    </xf>
    <xf numFmtId="38" fontId="12" fillId="6" borderId="2" xfId="1" applyFont="1" applyFill="1" applyBorder="1" applyAlignment="1" applyProtection="1">
      <alignment horizontal="right" vertical="center" shrinkToFit="1"/>
      <protection hidden="1"/>
    </xf>
    <xf numFmtId="176" fontId="8" fillId="0" borderId="0" xfId="0" applyNumberFormat="1" applyFont="1" applyFill="1" applyProtection="1">
      <alignment vertical="center"/>
      <protection hidden="1"/>
    </xf>
    <xf numFmtId="38" fontId="11" fillId="2" borderId="2" xfId="1" applyFont="1" applyFill="1" applyBorder="1" applyAlignment="1" applyProtection="1">
      <alignment horizontal="right" vertical="center" shrinkToFit="1"/>
      <protection hidden="1"/>
    </xf>
    <xf numFmtId="176" fontId="12" fillId="6" borderId="30" xfId="1" applyNumberFormat="1" applyFont="1" applyFill="1" applyBorder="1" applyAlignment="1" applyProtection="1">
      <alignment horizontal="right" vertical="center" shrinkToFit="1"/>
      <protection hidden="1"/>
    </xf>
    <xf numFmtId="176" fontId="11" fillId="6" borderId="3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7" fontId="12" fillId="3" borderId="18" xfId="0" applyNumberFormat="1" applyFont="1" applyFill="1" applyBorder="1" applyAlignment="1" applyProtection="1">
      <alignment horizontal="right" vertical="center" shrinkToFit="1"/>
      <protection locked="0"/>
    </xf>
    <xf numFmtId="176" fontId="12" fillId="6" borderId="32" xfId="1" applyNumberFormat="1" applyFont="1" applyFill="1" applyBorder="1" applyAlignment="1" applyProtection="1">
      <alignment horizontal="right" vertical="center" shrinkToFit="1"/>
      <protection hidden="1"/>
    </xf>
    <xf numFmtId="176" fontId="12" fillId="6" borderId="2" xfId="1" applyNumberFormat="1" applyFont="1" applyFill="1" applyBorder="1" applyAlignment="1" applyProtection="1">
      <alignment horizontal="right" vertical="center" shrinkToFit="1"/>
      <protection hidden="1"/>
    </xf>
    <xf numFmtId="176" fontId="11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Border="1">
      <alignment vertical="center"/>
    </xf>
    <xf numFmtId="0" fontId="11" fillId="7" borderId="0" xfId="0" applyFont="1" applyFill="1" applyBorder="1" applyAlignment="1">
      <alignment vertical="center"/>
    </xf>
    <xf numFmtId="0" fontId="5" fillId="7" borderId="0" xfId="0" applyFont="1" applyFill="1">
      <alignment vertical="center"/>
    </xf>
    <xf numFmtId="0" fontId="34" fillId="7" borderId="0" xfId="0" applyFont="1" applyFill="1">
      <alignment vertical="center"/>
    </xf>
    <xf numFmtId="0" fontId="5" fillId="7" borderId="0" xfId="0" applyFont="1" applyFill="1" applyBorder="1">
      <alignment vertical="center"/>
    </xf>
    <xf numFmtId="0" fontId="11" fillId="7" borderId="0" xfId="0" applyFont="1" applyFill="1" applyBorder="1" applyAlignment="1">
      <alignment horizontal="left" vertical="center"/>
    </xf>
    <xf numFmtId="0" fontId="33" fillId="7" borderId="0" xfId="0" applyFont="1" applyFill="1">
      <alignment vertical="center"/>
    </xf>
    <xf numFmtId="0" fontId="32" fillId="7" borderId="0" xfId="0" applyFont="1" applyFill="1">
      <alignment vertical="center"/>
    </xf>
    <xf numFmtId="0" fontId="6" fillId="7" borderId="0" xfId="0" applyFont="1" applyFill="1" applyAlignment="1">
      <alignment horizontal="right" vertical="center"/>
    </xf>
    <xf numFmtId="0" fontId="27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38" fillId="7" borderId="0" xfId="0" applyFont="1" applyFill="1">
      <alignment vertical="center"/>
    </xf>
    <xf numFmtId="0" fontId="8" fillId="0" borderId="7" xfId="0" applyFont="1" applyFill="1" applyBorder="1" applyAlignment="1" applyProtection="1">
      <alignment vertical="center" wrapText="1"/>
      <protection hidden="1"/>
    </xf>
    <xf numFmtId="176" fontId="12" fillId="0" borderId="0" xfId="0" applyNumberFormat="1" applyFont="1" applyProtection="1">
      <alignment vertical="center"/>
      <protection hidden="1"/>
    </xf>
    <xf numFmtId="38" fontId="12" fillId="0" borderId="0" xfId="1" applyFont="1" applyAlignment="1" applyProtection="1">
      <alignment vertical="center" shrinkToFit="1"/>
      <protection hidden="1"/>
    </xf>
    <xf numFmtId="0" fontId="4" fillId="0" borderId="0" xfId="0" applyFont="1" applyFill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alignment vertical="center"/>
      <protection hidden="1"/>
    </xf>
    <xf numFmtId="0" fontId="44" fillId="0" borderId="6" xfId="0" applyFont="1" applyFill="1" applyBorder="1" applyAlignment="1" applyProtection="1">
      <alignment horizontal="center" vertical="center"/>
      <protection hidden="1"/>
    </xf>
    <xf numFmtId="0" fontId="44" fillId="0" borderId="2" xfId="0" applyFont="1" applyFill="1" applyBorder="1" applyAlignment="1" applyProtection="1">
      <alignment horizontal="center" vertical="center"/>
      <protection hidden="1"/>
    </xf>
    <xf numFmtId="38" fontId="12" fillId="3" borderId="42" xfId="1" applyFont="1" applyFill="1" applyBorder="1" applyAlignment="1" applyProtection="1">
      <alignment horizontal="right" vertical="center" shrinkToFit="1"/>
      <protection locked="0"/>
    </xf>
    <xf numFmtId="38" fontId="12" fillId="6" borderId="43" xfId="1" applyFont="1" applyFill="1" applyBorder="1" applyAlignment="1" applyProtection="1">
      <alignment horizontal="right" vertical="center" shrinkToFit="1"/>
      <protection hidden="1"/>
    </xf>
    <xf numFmtId="38" fontId="12" fillId="2" borderId="43" xfId="1" applyFont="1" applyFill="1" applyBorder="1" applyAlignment="1" applyProtection="1">
      <alignment horizontal="right" vertical="center" shrinkToFit="1"/>
      <protection hidden="1"/>
    </xf>
    <xf numFmtId="176" fontId="12" fillId="6" borderId="43" xfId="1" applyNumberFormat="1" applyFont="1" applyFill="1" applyBorder="1" applyAlignment="1" applyProtection="1">
      <alignment horizontal="right" vertical="center" shrinkToFit="1"/>
      <protection hidden="1"/>
    </xf>
    <xf numFmtId="38" fontId="27" fillId="2" borderId="43" xfId="1" applyFont="1" applyFill="1" applyBorder="1" applyAlignment="1" applyProtection="1">
      <alignment horizontal="right" vertical="center" shrinkToFit="1"/>
      <protection hidden="1"/>
    </xf>
    <xf numFmtId="38" fontId="12" fillId="2" borderId="41" xfId="1" applyFont="1" applyFill="1" applyBorder="1" applyAlignment="1" applyProtection="1">
      <alignment horizontal="right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38" fontId="12" fillId="3" borderId="49" xfId="1" applyFont="1" applyFill="1" applyBorder="1" applyAlignment="1" applyProtection="1">
      <alignment horizontal="right" vertical="center" shrinkToFit="1"/>
      <protection locked="0"/>
    </xf>
    <xf numFmtId="38" fontId="12" fillId="6" borderId="13" xfId="1" applyFont="1" applyFill="1" applyBorder="1" applyAlignment="1" applyProtection="1">
      <alignment horizontal="right" vertical="center" shrinkToFit="1"/>
      <protection hidden="1"/>
    </xf>
    <xf numFmtId="38" fontId="12" fillId="2" borderId="13" xfId="1" applyFont="1" applyFill="1" applyBorder="1" applyAlignment="1" applyProtection="1">
      <alignment horizontal="right" vertical="center" shrinkToFit="1"/>
      <protection hidden="1"/>
    </xf>
    <xf numFmtId="176" fontId="12" fillId="6" borderId="13" xfId="1" applyNumberFormat="1" applyFont="1" applyFill="1" applyBorder="1" applyAlignment="1" applyProtection="1">
      <alignment horizontal="right" vertical="center" shrinkToFit="1"/>
      <protection hidden="1"/>
    </xf>
    <xf numFmtId="38" fontId="27" fillId="2" borderId="13" xfId="1" applyFont="1" applyFill="1" applyBorder="1" applyAlignment="1" applyProtection="1">
      <alignment horizontal="right" vertical="center" shrinkToFit="1"/>
      <protection hidden="1"/>
    </xf>
    <xf numFmtId="38" fontId="12" fillId="2" borderId="11" xfId="1" applyFont="1" applyFill="1" applyBorder="1" applyAlignment="1" applyProtection="1">
      <alignment horizontal="right" vertical="center" shrinkToFit="1"/>
      <protection hidden="1"/>
    </xf>
    <xf numFmtId="38" fontId="12" fillId="2" borderId="50" xfId="1" applyFont="1" applyFill="1" applyBorder="1" applyAlignment="1" applyProtection="1">
      <alignment horizontal="right" vertical="center" shrinkToFit="1"/>
      <protection hidden="1"/>
    </xf>
    <xf numFmtId="176" fontId="8" fillId="0" borderId="48" xfId="1" applyNumberFormat="1" applyFont="1" applyFill="1" applyBorder="1" applyAlignment="1" applyProtection="1">
      <alignment horizontal="right" vertical="center" shrinkToFit="1"/>
      <protection hidden="1"/>
    </xf>
    <xf numFmtId="176" fontId="8" fillId="0" borderId="51" xfId="1" applyNumberFormat="1" applyFont="1" applyFill="1" applyBorder="1" applyAlignment="1" applyProtection="1">
      <alignment horizontal="right" vertical="center" shrinkToFit="1"/>
      <protection hidden="1"/>
    </xf>
    <xf numFmtId="0" fontId="20" fillId="8" borderId="1" xfId="0" applyFont="1" applyFill="1" applyBorder="1" applyAlignment="1" applyProtection="1">
      <alignment horizontal="right" vertical="center" shrinkToFit="1"/>
      <protection hidden="1"/>
    </xf>
    <xf numFmtId="0" fontId="20" fillId="8" borderId="41" xfId="0" applyFont="1" applyFill="1" applyBorder="1" applyAlignment="1" applyProtection="1">
      <alignment horizontal="right" vertical="center" shrinkToFit="1"/>
      <protection hidden="1"/>
    </xf>
    <xf numFmtId="0" fontId="20" fillId="9" borderId="11" xfId="0" applyFont="1" applyFill="1" applyBorder="1" applyAlignment="1" applyProtection="1">
      <alignment horizontal="right" vertical="center" shrinkToFit="1"/>
      <protection hidden="1"/>
    </xf>
    <xf numFmtId="0" fontId="20" fillId="9" borderId="1" xfId="0" applyFont="1" applyFill="1" applyBorder="1" applyAlignment="1" applyProtection="1">
      <alignment horizontal="right" vertical="center" shrinkToFit="1"/>
      <protection hidden="1"/>
    </xf>
    <xf numFmtId="0" fontId="20" fillId="9" borderId="3" xfId="0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42" fillId="0" borderId="26" xfId="0" applyFont="1" applyFill="1" applyBorder="1" applyAlignment="1" applyProtection="1">
      <alignment vertical="center"/>
      <protection hidden="1"/>
    </xf>
    <xf numFmtId="38" fontId="12" fillId="4" borderId="16" xfId="1" applyFont="1" applyFill="1" applyBorder="1" applyAlignment="1" applyProtection="1">
      <alignment horizontal="right" vertical="center" shrinkToFit="1"/>
      <protection locked="0"/>
    </xf>
    <xf numFmtId="0" fontId="8" fillId="0" borderId="21" xfId="0" applyFont="1" applyBorder="1" applyProtection="1">
      <alignment vertical="center"/>
      <protection hidden="1"/>
    </xf>
    <xf numFmtId="0" fontId="8" fillId="0" borderId="21" xfId="0" applyFont="1" applyFill="1" applyBorder="1" applyProtection="1">
      <alignment vertical="center"/>
      <protection hidden="1"/>
    </xf>
    <xf numFmtId="38" fontId="12" fillId="5" borderId="29" xfId="1" applyFont="1" applyFill="1" applyBorder="1" applyAlignment="1" applyProtection="1">
      <alignment horizontal="right" vertical="center" shrinkToFit="1"/>
      <protection locked="0"/>
    </xf>
    <xf numFmtId="176" fontId="14" fillId="2" borderId="2" xfId="0" applyNumberFormat="1" applyFont="1" applyFill="1" applyBorder="1" applyAlignment="1" applyProtection="1">
      <alignment vertical="center" shrinkToFit="1"/>
      <protection hidden="1"/>
    </xf>
    <xf numFmtId="38" fontId="47" fillId="2" borderId="2" xfId="1" applyFont="1" applyFill="1" applyBorder="1" applyAlignment="1" applyProtection="1">
      <alignment horizontal="right" vertical="center" shrinkToFit="1"/>
      <protection hidden="1"/>
    </xf>
    <xf numFmtId="178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179" fontId="12" fillId="3" borderId="16" xfId="0" applyNumberFormat="1" applyFont="1" applyFill="1" applyBorder="1" applyAlignment="1" applyProtection="1">
      <alignment horizontal="right" vertical="center" shrinkToFit="1"/>
      <protection hidden="1"/>
    </xf>
    <xf numFmtId="38" fontId="12" fillId="3" borderId="17" xfId="1" applyFont="1" applyFill="1" applyBorder="1" applyAlignment="1" applyProtection="1">
      <alignment horizontal="right" vertical="center" shrinkToFit="1"/>
      <protection hidden="1"/>
    </xf>
    <xf numFmtId="180" fontId="12" fillId="3" borderId="17" xfId="0" applyNumberFormat="1" applyFont="1" applyFill="1" applyBorder="1" applyAlignment="1" applyProtection="1">
      <alignment horizontal="right" vertical="center" shrinkToFit="1"/>
      <protection hidden="1"/>
    </xf>
    <xf numFmtId="177" fontId="12" fillId="3" borderId="18" xfId="0" applyNumberFormat="1" applyFont="1" applyFill="1" applyBorder="1" applyAlignment="1" applyProtection="1">
      <alignment horizontal="right" vertical="center" shrinkToFit="1"/>
      <protection hidden="1"/>
    </xf>
    <xf numFmtId="38" fontId="12" fillId="4" borderId="16" xfId="1" applyFont="1" applyFill="1" applyBorder="1" applyAlignment="1" applyProtection="1">
      <alignment vertical="center" shrinkToFit="1"/>
      <protection hidden="1"/>
    </xf>
    <xf numFmtId="38" fontId="12" fillId="4" borderId="18" xfId="1" applyFont="1" applyFill="1" applyBorder="1" applyAlignment="1" applyProtection="1">
      <alignment vertical="center" shrinkToFit="1"/>
      <protection hidden="1"/>
    </xf>
    <xf numFmtId="38" fontId="12" fillId="5" borderId="19" xfId="1" applyFont="1" applyFill="1" applyBorder="1" applyAlignment="1" applyProtection="1">
      <alignment horizontal="right" vertical="center" shrinkToFit="1"/>
      <protection hidden="1"/>
    </xf>
    <xf numFmtId="38" fontId="12" fillId="5" borderId="16" xfId="1" applyFont="1" applyFill="1" applyBorder="1" applyAlignment="1" applyProtection="1">
      <alignment horizontal="right" vertical="center" shrinkToFit="1"/>
      <protection hidden="1"/>
    </xf>
    <xf numFmtId="38" fontId="12" fillId="5" borderId="18" xfId="1" applyFont="1" applyFill="1" applyBorder="1" applyAlignment="1" applyProtection="1">
      <alignment horizontal="right" vertical="center" shrinkToFit="1"/>
      <protection hidden="1"/>
    </xf>
    <xf numFmtId="0" fontId="12" fillId="5" borderId="19" xfId="0" applyNumberFormat="1" applyFont="1" applyFill="1" applyBorder="1" applyAlignment="1" applyProtection="1">
      <alignment horizontal="center" vertical="center" shrinkToFit="1"/>
      <protection hidden="1"/>
    </xf>
    <xf numFmtId="38" fontId="12" fillId="3" borderId="16" xfId="1" applyFont="1" applyFill="1" applyBorder="1" applyAlignment="1" applyProtection="1">
      <alignment horizontal="right" vertical="center" shrinkToFit="1"/>
      <protection hidden="1"/>
    </xf>
    <xf numFmtId="38" fontId="12" fillId="3" borderId="42" xfId="1" applyFont="1" applyFill="1" applyBorder="1" applyAlignment="1" applyProtection="1">
      <alignment horizontal="right" vertical="center" shrinkToFit="1"/>
      <protection hidden="1"/>
    </xf>
    <xf numFmtId="38" fontId="12" fillId="3" borderId="49" xfId="1" applyFont="1" applyFill="1" applyBorder="1" applyAlignment="1" applyProtection="1">
      <alignment horizontal="right" vertical="center" shrinkToFit="1"/>
      <protection hidden="1"/>
    </xf>
    <xf numFmtId="38" fontId="12" fillId="3" borderId="18" xfId="1" applyFont="1" applyFill="1" applyBorder="1" applyAlignment="1" applyProtection="1">
      <alignment horizontal="right" vertical="center" shrinkToFit="1"/>
      <protection hidden="1"/>
    </xf>
    <xf numFmtId="0" fontId="35" fillId="7" borderId="33" xfId="0" applyFont="1" applyFill="1" applyBorder="1" applyAlignment="1">
      <alignment horizontal="left" vertical="center" wrapText="1"/>
    </xf>
    <xf numFmtId="0" fontId="35" fillId="7" borderId="34" xfId="0" applyFont="1" applyFill="1" applyBorder="1" applyAlignment="1">
      <alignment horizontal="left" vertical="center" wrapText="1"/>
    </xf>
    <xf numFmtId="0" fontId="35" fillId="7" borderId="35" xfId="0" applyFont="1" applyFill="1" applyBorder="1" applyAlignment="1">
      <alignment horizontal="left" vertical="center" wrapText="1"/>
    </xf>
    <xf numFmtId="0" fontId="35" fillId="7" borderId="36" xfId="0" applyFont="1" applyFill="1" applyBorder="1" applyAlignment="1">
      <alignment horizontal="left" vertical="center" wrapText="1"/>
    </xf>
    <xf numFmtId="0" fontId="35" fillId="7" borderId="0" xfId="0" applyFont="1" applyFill="1" applyBorder="1" applyAlignment="1">
      <alignment horizontal="left" vertical="center" wrapText="1"/>
    </xf>
    <xf numFmtId="0" fontId="35" fillId="7" borderId="37" xfId="0" applyFont="1" applyFill="1" applyBorder="1" applyAlignment="1">
      <alignment horizontal="left" vertical="center" wrapText="1"/>
    </xf>
    <xf numFmtId="0" fontId="35" fillId="7" borderId="38" xfId="0" applyFont="1" applyFill="1" applyBorder="1" applyAlignment="1">
      <alignment horizontal="left" vertical="center" wrapText="1"/>
    </xf>
    <xf numFmtId="0" fontId="35" fillId="7" borderId="39" xfId="0" applyFont="1" applyFill="1" applyBorder="1" applyAlignment="1">
      <alignment horizontal="left" vertical="center" wrapText="1"/>
    </xf>
    <xf numFmtId="0" fontId="35" fillId="7" borderId="40" xfId="0" applyFont="1" applyFill="1" applyBorder="1" applyAlignment="1">
      <alignment horizontal="left" vertical="center" wrapText="1"/>
    </xf>
    <xf numFmtId="0" fontId="37" fillId="7" borderId="0" xfId="0" applyFont="1" applyFill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0" fontId="19" fillId="0" borderId="2" xfId="0" applyNumberFormat="1" applyFont="1" applyFill="1" applyBorder="1" applyAlignment="1" applyProtection="1">
      <alignment horizontal="center" vertical="center" wrapText="1"/>
      <protection hidden="1"/>
    </xf>
    <xf numFmtId="38" fontId="44" fillId="0" borderId="12" xfId="0" applyNumberFormat="1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17" fillId="9" borderId="21" xfId="0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38" fontId="44" fillId="0" borderId="52" xfId="1" applyFont="1" applyFill="1" applyBorder="1" applyAlignment="1" applyProtection="1">
      <alignment horizontal="right" vertical="center"/>
      <protection hidden="1"/>
    </xf>
    <xf numFmtId="38" fontId="44" fillId="0" borderId="13" xfId="1" applyFont="1" applyFill="1" applyBorder="1" applyAlignment="1" applyProtection="1">
      <alignment horizontal="right" vertical="center"/>
      <protection hidden="1"/>
    </xf>
    <xf numFmtId="38" fontId="44" fillId="0" borderId="2" xfId="1" applyFont="1" applyFill="1" applyBorder="1" applyAlignment="1" applyProtection="1">
      <alignment horizontal="right" vertical="center"/>
      <protection hidden="1"/>
    </xf>
    <xf numFmtId="38" fontId="44" fillId="0" borderId="0" xfId="1" applyFont="1" applyFill="1" applyBorder="1" applyAlignment="1" applyProtection="1">
      <alignment horizontal="right" vertical="center"/>
      <protection hidden="1"/>
    </xf>
    <xf numFmtId="38" fontId="44" fillId="0" borderId="11" xfId="1" applyFont="1" applyFill="1" applyBorder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38" fontId="44" fillId="0" borderId="12" xfId="1" applyFont="1" applyFill="1" applyBorder="1" applyAlignment="1" applyProtection="1">
      <alignment horizontal="right" vertical="center"/>
      <protection hidden="1"/>
    </xf>
    <xf numFmtId="181" fontId="24" fillId="0" borderId="12" xfId="1" applyNumberFormat="1" applyFont="1" applyFill="1" applyBorder="1" applyAlignment="1" applyProtection="1">
      <alignment horizontal="right" vertical="center"/>
      <protection hidden="1"/>
    </xf>
    <xf numFmtId="181" fontId="24" fillId="0" borderId="47" xfId="1" applyNumberFormat="1" applyFont="1" applyFill="1" applyBorder="1" applyAlignment="1" applyProtection="1">
      <alignment horizontal="right" vertical="center"/>
      <protection hidden="1"/>
    </xf>
    <xf numFmtId="38" fontId="24" fillId="0" borderId="2" xfId="1" applyFont="1" applyFill="1" applyBorder="1" applyAlignment="1" applyProtection="1">
      <alignment horizontal="right" vertical="center"/>
      <protection hidden="1"/>
    </xf>
    <xf numFmtId="38" fontId="24" fillId="0" borderId="46" xfId="1" applyFont="1" applyFill="1" applyBorder="1" applyAlignment="1" applyProtection="1">
      <alignment horizontal="right" vertical="center"/>
      <protection hidden="1"/>
    </xf>
    <xf numFmtId="0" fontId="19" fillId="0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28" xfId="0" applyNumberFormat="1" applyFont="1" applyFill="1" applyBorder="1" applyAlignment="1" applyProtection="1">
      <alignment horizontal="right" vertical="center" shrinkToFit="1"/>
      <protection hidden="1"/>
    </xf>
    <xf numFmtId="176" fontId="15" fillId="2" borderId="29" xfId="0" applyNumberFormat="1" applyFont="1" applyFill="1" applyBorder="1" applyAlignment="1" applyProtection="1">
      <alignment horizontal="right" vertical="center" shrinkToFit="1"/>
      <protection hidden="1"/>
    </xf>
    <xf numFmtId="181" fontId="21" fillId="0" borderId="44" xfId="1" applyNumberFormat="1" applyFont="1" applyFill="1" applyBorder="1" applyAlignment="1" applyProtection="1">
      <alignment horizontal="right" vertical="center"/>
      <protection hidden="1"/>
    </xf>
    <xf numFmtId="181" fontId="21" fillId="0" borderId="45" xfId="1" applyNumberFormat="1" applyFont="1" applyFill="1" applyBorder="1" applyAlignment="1" applyProtection="1">
      <alignment horizontal="right" vertical="center"/>
      <protection hidden="1"/>
    </xf>
    <xf numFmtId="38" fontId="44" fillId="0" borderId="47" xfId="1" applyFont="1" applyFill="1" applyBorder="1" applyAlignment="1" applyProtection="1">
      <alignment horizontal="right" vertical="center"/>
      <protection hidden="1"/>
    </xf>
    <xf numFmtId="181" fontId="44" fillId="0" borderId="12" xfId="1" applyNumberFormat="1" applyFont="1" applyFill="1" applyBorder="1" applyAlignment="1" applyProtection="1">
      <alignment horizontal="right" vertical="center"/>
      <protection hidden="1"/>
    </xf>
    <xf numFmtId="181" fontId="44" fillId="0" borderId="13" xfId="1" applyNumberFormat="1" applyFont="1" applyFill="1" applyBorder="1" applyAlignment="1" applyProtection="1">
      <alignment horizontal="right" vertical="center"/>
      <protection hidden="1"/>
    </xf>
    <xf numFmtId="0" fontId="19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0" applyNumberFormat="1" applyFont="1" applyFill="1" applyBorder="1" applyAlignment="1" applyProtection="1">
      <alignment horizontal="left" vertical="center" wrapText="1"/>
      <protection hidden="1"/>
    </xf>
    <xf numFmtId="176" fontId="30" fillId="2" borderId="28" xfId="0" applyNumberFormat="1" applyFont="1" applyFill="1" applyBorder="1" applyAlignment="1" applyProtection="1">
      <alignment horizontal="right" vertical="center" shrinkToFit="1"/>
      <protection hidden="1"/>
    </xf>
    <xf numFmtId="176" fontId="30" fillId="2" borderId="29" xfId="0" applyNumberFormat="1" applyFont="1" applyFill="1" applyBorder="1" applyAlignment="1" applyProtection="1">
      <alignment horizontal="right" vertical="center" shrinkToFit="1"/>
      <protection hidden="1"/>
    </xf>
    <xf numFmtId="181" fontId="44" fillId="0" borderId="5" xfId="1" applyNumberFormat="1" applyFont="1" applyFill="1" applyBorder="1" applyAlignment="1" applyProtection="1">
      <alignment horizontal="right" vertical="center"/>
      <protection hidden="1"/>
    </xf>
    <xf numFmtId="181" fontId="44" fillId="0" borderId="10" xfId="1" applyNumberFormat="1" applyFont="1" applyFill="1" applyBorder="1" applyAlignment="1" applyProtection="1">
      <alignment horizontal="right" vertical="center"/>
      <protection hidden="1"/>
    </xf>
    <xf numFmtId="0" fontId="42" fillId="0" borderId="26" xfId="0" applyFont="1" applyFill="1" applyBorder="1" applyAlignment="1" applyProtection="1">
      <alignment horizontal="center" vertical="center"/>
      <protection hidden="1"/>
    </xf>
    <xf numFmtId="0" fontId="43" fillId="0" borderId="26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20" fillId="0" borderId="9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4" fillId="6" borderId="15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8" borderId="21" xfId="0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 shrinkToFit="1"/>
      <protection hidden="1"/>
    </xf>
    <xf numFmtId="0" fontId="19" fillId="0" borderId="2" xfId="0" applyFont="1" applyFill="1" applyBorder="1" applyAlignment="1" applyProtection="1">
      <alignment horizontal="center" vertical="center" shrinkToFit="1"/>
      <protection hidden="1"/>
    </xf>
    <xf numFmtId="0" fontId="19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 shrinkToFit="1"/>
      <protection hidden="1"/>
    </xf>
    <xf numFmtId="0" fontId="19" fillId="0" borderId="9" xfId="0" applyFont="1" applyFill="1" applyBorder="1" applyAlignment="1" applyProtection="1">
      <alignment horizontal="center" vertical="center" wrapText="1" shrinkToFit="1"/>
      <protection hidden="1"/>
    </xf>
    <xf numFmtId="0" fontId="19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horizontal="center" vertical="center" wrapText="1" shrinkToFit="1"/>
      <protection hidden="1"/>
    </xf>
    <xf numFmtId="0" fontId="4" fillId="6" borderId="12" xfId="0" applyFont="1" applyFill="1" applyBorder="1" applyAlignment="1" applyProtection="1">
      <alignment horizontal="center" vertical="center" wrapText="1" shrinkToFit="1"/>
      <protection hidden="1"/>
    </xf>
    <xf numFmtId="0" fontId="4" fillId="6" borderId="13" xfId="0" applyFont="1" applyFill="1" applyBorder="1" applyAlignment="1" applyProtection="1">
      <alignment horizontal="center" vertical="center" wrapText="1" shrinkToFi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176" fontId="31" fillId="2" borderId="28" xfId="0" applyNumberFormat="1" applyFont="1" applyFill="1" applyBorder="1" applyAlignment="1" applyProtection="1">
      <alignment horizontal="right" vertical="center" shrinkToFit="1"/>
      <protection hidden="1"/>
    </xf>
    <xf numFmtId="176" fontId="31" fillId="2" borderId="29" xfId="0" applyNumberFormat="1" applyFont="1" applyFill="1" applyBorder="1" applyAlignment="1" applyProtection="1">
      <alignment horizontal="right" vertical="center" shrinkToFit="1"/>
      <protection hidden="1"/>
    </xf>
    <xf numFmtId="176" fontId="20" fillId="0" borderId="2" xfId="0" applyNumberFormat="1" applyFont="1" applyFill="1" applyBorder="1" applyAlignment="1" applyProtection="1">
      <alignment horizontal="center" vertical="center" wrapText="1" shrinkToFit="1"/>
      <protection hidden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CC99"/>
      <color rgb="FFFFCC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0837;&#21147;&#12471;&#12540;&#12488;!A1"/><Relationship Id="rId2" Type="http://schemas.openxmlformats.org/officeDocument/2006/relationships/hyperlink" Target="#&#20837;&#21147;&#20363;!A1"/><Relationship Id="rId1" Type="http://schemas.openxmlformats.org/officeDocument/2006/relationships/hyperlink" Target="#'&#20837;&#21147;&#12509;&#12452;&#12531;&#12488;&#65288;&#12424;&#12367;&#12354;&#12427;&#12511;&#12473;&#31561;&#6528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14603</xdr:colOff>
      <xdr:row>29</xdr:row>
      <xdr:rowOff>205714</xdr:rowOff>
    </xdr:from>
    <xdr:to>
      <xdr:col>8</xdr:col>
      <xdr:colOff>290828</xdr:colOff>
      <xdr:row>31</xdr:row>
      <xdr:rowOff>234784</xdr:rowOff>
    </xdr:to>
    <xdr:sp macro="" textlink="">
      <xdr:nvSpPr>
        <xdr:cNvPr id="4" name="角丸四角形 3">
          <a:hlinkClick xmlns:r="http://schemas.openxmlformats.org/officeDocument/2006/relationships" r:id="rId1"/>
        </xdr:cNvPr>
        <xdr:cNvSpPr/>
      </xdr:nvSpPr>
      <xdr:spPr>
        <a:xfrm>
          <a:off x="2218960" y="6614678"/>
          <a:ext cx="3950154" cy="73664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入力ポイント（よくあるミス等）</a:t>
          </a:r>
        </a:p>
      </xdr:txBody>
    </xdr:sp>
    <xdr:clientData/>
  </xdr:twoCellAnchor>
  <xdr:twoCellAnchor>
    <xdr:from>
      <xdr:col>3</xdr:col>
      <xdr:colOff>11263</xdr:colOff>
      <xdr:row>34</xdr:row>
      <xdr:rowOff>327189</xdr:rowOff>
    </xdr:from>
    <xdr:to>
      <xdr:col>8</xdr:col>
      <xdr:colOff>297013</xdr:colOff>
      <xdr:row>36</xdr:row>
      <xdr:rowOff>317664</xdr:rowOff>
    </xdr:to>
    <xdr:sp macro="" textlink="">
      <xdr:nvSpPr>
        <xdr:cNvPr id="9" name="角丸四角形 8">
          <a:hlinkClick xmlns:r="http://schemas.openxmlformats.org/officeDocument/2006/relationships" r:id="rId2"/>
        </xdr:cNvPr>
        <xdr:cNvSpPr/>
      </xdr:nvSpPr>
      <xdr:spPr>
        <a:xfrm>
          <a:off x="2215620" y="8505082"/>
          <a:ext cx="3959679" cy="69804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入力例</a:t>
          </a:r>
        </a:p>
      </xdr:txBody>
    </xdr:sp>
    <xdr:clientData/>
  </xdr:twoCellAnchor>
  <xdr:twoCellAnchor>
    <xdr:from>
      <xdr:col>3</xdr:col>
      <xdr:colOff>1367</xdr:colOff>
      <xdr:row>32</xdr:row>
      <xdr:rowOff>110219</xdr:rowOff>
    </xdr:from>
    <xdr:to>
      <xdr:col>8</xdr:col>
      <xdr:colOff>287117</xdr:colOff>
      <xdr:row>34</xdr:row>
      <xdr:rowOff>131865</xdr:rowOff>
    </xdr:to>
    <xdr:sp macro="" textlink="">
      <xdr:nvSpPr>
        <xdr:cNvPr id="13" name="角丸四角形 12">
          <a:hlinkClick xmlns:r="http://schemas.openxmlformats.org/officeDocument/2006/relationships" r:id="rId3"/>
        </xdr:cNvPr>
        <xdr:cNvSpPr/>
      </xdr:nvSpPr>
      <xdr:spPr>
        <a:xfrm>
          <a:off x="2205724" y="7580540"/>
          <a:ext cx="3959679" cy="72921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242455</xdr:colOff>
      <xdr:row>0</xdr:row>
      <xdr:rowOff>588819</xdr:rowOff>
    </xdr:from>
    <xdr:to>
      <xdr:col>15</xdr:col>
      <xdr:colOff>1368136</xdr:colOff>
      <xdr:row>10</xdr:row>
      <xdr:rowOff>304614</xdr:rowOff>
    </xdr:to>
    <xdr:sp macro="" textlink="">
      <xdr:nvSpPr>
        <xdr:cNvPr id="17" name="角丸四角形 16"/>
        <xdr:cNvSpPr/>
      </xdr:nvSpPr>
      <xdr:spPr>
        <a:xfrm>
          <a:off x="4554682" y="588819"/>
          <a:ext cx="6806045" cy="290234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536864</xdr:colOff>
      <xdr:row>1</xdr:row>
      <xdr:rowOff>51953</xdr:rowOff>
    </xdr:from>
    <xdr:to>
      <xdr:col>15</xdr:col>
      <xdr:colOff>1298863</xdr:colOff>
      <xdr:row>10</xdr:row>
      <xdr:rowOff>350382</xdr:rowOff>
    </xdr:to>
    <xdr:sp macro="" textlink="">
      <xdr:nvSpPr>
        <xdr:cNvPr id="18" name="テキスト ボックス 17"/>
        <xdr:cNvSpPr txBox="1"/>
      </xdr:nvSpPr>
      <xdr:spPr>
        <a:xfrm>
          <a:off x="4849091" y="675408"/>
          <a:ext cx="6442363" cy="2861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「②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法定準備預金額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は、準備預金制度に関する法律（以下「法」といいます。）第２条第２項に規定する金額を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endParaRPr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「指定勘定および日本銀行に対する預け金の状況に関する報告書」において</a:t>
          </a:r>
          <a:r>
            <a:rPr lang="ja-JP" altLang="ja-JP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「所要準備額」としてご報告して頂く金額と同じ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endParaRPr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法第２条第１項に規定する</a:t>
          </a:r>
          <a:r>
            <a:rPr lang="ja-JP" altLang="ja-JP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「指定金融機関」でない先は、「０」を入力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pPr>
            <a:lnSpc>
              <a:spcPts val="1400"/>
            </a:lnSpc>
          </a:pP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380999</xdr:colOff>
      <xdr:row>3</xdr:row>
      <xdr:rowOff>26905</xdr:rowOff>
    </xdr:from>
    <xdr:to>
      <xdr:col>4</xdr:col>
      <xdr:colOff>830035</xdr:colOff>
      <xdr:row>4</xdr:row>
      <xdr:rowOff>59686</xdr:rowOff>
    </xdr:to>
    <xdr:sp macro="" textlink="">
      <xdr:nvSpPr>
        <xdr:cNvPr id="19" name="右矢印 18"/>
        <xdr:cNvSpPr/>
      </xdr:nvSpPr>
      <xdr:spPr>
        <a:xfrm rot="10800000">
          <a:off x="4693226" y="1239178"/>
          <a:ext cx="449036" cy="29255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164381</xdr:colOff>
      <xdr:row>11</xdr:row>
      <xdr:rowOff>24773</xdr:rowOff>
    </xdr:from>
    <xdr:to>
      <xdr:col>15</xdr:col>
      <xdr:colOff>1083482</xdr:colOff>
      <xdr:row>18</xdr:row>
      <xdr:rowOff>128125</xdr:rowOff>
    </xdr:to>
    <xdr:sp macro="" textlink="">
      <xdr:nvSpPr>
        <xdr:cNvPr id="20" name="角丸四角形 19"/>
        <xdr:cNvSpPr/>
      </xdr:nvSpPr>
      <xdr:spPr>
        <a:xfrm>
          <a:off x="6277699" y="3575000"/>
          <a:ext cx="6599465" cy="2718398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300204</xdr:colOff>
      <xdr:row>11</xdr:row>
      <xdr:rowOff>25144</xdr:rowOff>
    </xdr:from>
    <xdr:to>
      <xdr:col>15</xdr:col>
      <xdr:colOff>717078</xdr:colOff>
      <xdr:row>17</xdr:row>
      <xdr:rowOff>301305</xdr:rowOff>
    </xdr:to>
    <xdr:sp macro="" textlink="">
      <xdr:nvSpPr>
        <xdr:cNvPr id="21" name="テキスト ボックス 20"/>
        <xdr:cNvSpPr txBox="1"/>
      </xdr:nvSpPr>
      <xdr:spPr>
        <a:xfrm>
          <a:off x="6413522" y="3488780"/>
          <a:ext cx="6097238" cy="2492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「③基準比率」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「④加算比率」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付利対象積み期間ごとに見直しを行うことがありますので、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試算を行う期間に対応した計数を入力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見直しは、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日本銀行のホームページ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においてお知らせしています。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>
            <a:lnSpc>
              <a:spcPts val="1400"/>
            </a:lnSpc>
          </a:pP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「③基準比率」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が「０」でない場合には、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「④加算比率」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には「１００」を入力してください。</a:t>
          </a:r>
        </a:p>
      </xdr:txBody>
    </xdr:sp>
    <xdr:clientData/>
  </xdr:twoCellAnchor>
  <xdr:twoCellAnchor>
    <xdr:from>
      <xdr:col>3</xdr:col>
      <xdr:colOff>1348896</xdr:colOff>
      <xdr:row>5</xdr:row>
      <xdr:rowOff>161014</xdr:rowOff>
    </xdr:from>
    <xdr:to>
      <xdr:col>3</xdr:col>
      <xdr:colOff>1704612</xdr:colOff>
      <xdr:row>12</xdr:row>
      <xdr:rowOff>156518</xdr:rowOff>
    </xdr:to>
    <xdr:sp macro="" textlink="">
      <xdr:nvSpPr>
        <xdr:cNvPr id="22" name="右矢印 21"/>
        <xdr:cNvSpPr/>
      </xdr:nvSpPr>
      <xdr:spPr>
        <a:xfrm rot="14122793">
          <a:off x="3018365" y="2821090"/>
          <a:ext cx="2039050" cy="355716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60861</xdr:colOff>
      <xdr:row>19</xdr:row>
      <xdr:rowOff>279787</xdr:rowOff>
    </xdr:from>
    <xdr:to>
      <xdr:col>17</xdr:col>
      <xdr:colOff>1089436</xdr:colOff>
      <xdr:row>29</xdr:row>
      <xdr:rowOff>155862</xdr:rowOff>
    </xdr:to>
    <xdr:sp macro="" textlink="">
      <xdr:nvSpPr>
        <xdr:cNvPr id="23" name="角丸四角形 22"/>
        <xdr:cNvSpPr/>
      </xdr:nvSpPr>
      <xdr:spPr>
        <a:xfrm>
          <a:off x="6174179" y="6756787"/>
          <a:ext cx="8787121" cy="3859257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224453</xdr:colOff>
      <xdr:row>19</xdr:row>
      <xdr:rowOff>111247</xdr:rowOff>
    </xdr:from>
    <xdr:to>
      <xdr:col>17</xdr:col>
      <xdr:colOff>898935</xdr:colOff>
      <xdr:row>30</xdr:row>
      <xdr:rowOff>93929</xdr:rowOff>
    </xdr:to>
    <xdr:sp macro="" textlink="">
      <xdr:nvSpPr>
        <xdr:cNvPr id="24" name="テキスト ボックス 23"/>
        <xdr:cNvSpPr txBox="1"/>
      </xdr:nvSpPr>
      <xdr:spPr>
        <a:xfrm>
          <a:off x="6337771" y="6588247"/>
          <a:ext cx="8433028" cy="4364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「⑥対象借入れの残高（オペ１階）」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には</a:t>
          </a:r>
          <a:r>
            <a:rPr lang="ja-JP" altLang="ja-JP" sz="16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成長基盤強化支援資金供給、貸出増加支援資金供給、被災地金融機関支援オペ、気候変動対応オペの残高を入力してください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については、「日本銀行金融ネットワークシステム利用細則（入札型電子貸付（共通担保資金供給オペレーション）関係事務）」所定の操作手順（</a:t>
          </a:r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業務処理区分「借入明細」、コード５３４２０２</a:t>
          </a:r>
          <a:r>
            <a:rPr lang="ja-JP" altLang="en-US" sz="16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）により、</a:t>
          </a:r>
          <a:r>
            <a:rPr lang="ja-JP" altLang="en-US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日銀ネットから照会データファイルを取得し、確認することができます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ただし、データを取得可能な期間は、照会日の属する月の前月第１営業日以降に限られますので、ご留意ください。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>
            <a:lnSpc>
              <a:spcPts val="1400"/>
            </a:lnSpc>
          </a:pP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667157</xdr:colOff>
      <xdr:row>13</xdr:row>
      <xdr:rowOff>242145</xdr:rowOff>
    </xdr:from>
    <xdr:to>
      <xdr:col>4</xdr:col>
      <xdr:colOff>1068922</xdr:colOff>
      <xdr:row>21</xdr:row>
      <xdr:rowOff>131023</xdr:rowOff>
    </xdr:to>
    <xdr:sp macro="" textlink="">
      <xdr:nvSpPr>
        <xdr:cNvPr id="25" name="右矢印 24"/>
        <xdr:cNvSpPr/>
      </xdr:nvSpPr>
      <xdr:spPr>
        <a:xfrm rot="13792633">
          <a:off x="3668532" y="5692042"/>
          <a:ext cx="3023469" cy="40176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1662544</xdr:colOff>
      <xdr:row>37</xdr:row>
      <xdr:rowOff>207818</xdr:rowOff>
    </xdr:from>
    <xdr:to>
      <xdr:col>22</xdr:col>
      <xdr:colOff>197055</xdr:colOff>
      <xdr:row>38</xdr:row>
      <xdr:rowOff>102053</xdr:rowOff>
    </xdr:to>
    <xdr:sp macro="" textlink="">
      <xdr:nvSpPr>
        <xdr:cNvPr id="31" name="右矢印 30"/>
        <xdr:cNvSpPr/>
      </xdr:nvSpPr>
      <xdr:spPr>
        <a:xfrm>
          <a:off x="20937680" y="13854545"/>
          <a:ext cx="439511" cy="29255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155864</xdr:colOff>
      <xdr:row>15</xdr:row>
      <xdr:rowOff>17317</xdr:rowOff>
    </xdr:from>
    <xdr:to>
      <xdr:col>27</xdr:col>
      <xdr:colOff>165086</xdr:colOff>
      <xdr:row>23</xdr:row>
      <xdr:rowOff>17317</xdr:rowOff>
    </xdr:to>
    <xdr:sp macro="" textlink="">
      <xdr:nvSpPr>
        <xdr:cNvPr id="32" name="角丸四角形 31"/>
        <xdr:cNvSpPr/>
      </xdr:nvSpPr>
      <xdr:spPr>
        <a:xfrm>
          <a:off x="21336000" y="4901044"/>
          <a:ext cx="5118086" cy="3186546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121227</xdr:colOff>
      <xdr:row>22</xdr:row>
      <xdr:rowOff>351354</xdr:rowOff>
    </xdr:from>
    <xdr:to>
      <xdr:col>28</xdr:col>
      <xdr:colOff>0</xdr:colOff>
      <xdr:row>37</xdr:row>
      <xdr:rowOff>85299</xdr:rowOff>
    </xdr:to>
    <xdr:grpSp>
      <xdr:nvGrpSpPr>
        <xdr:cNvPr id="2" name="グループ化 1"/>
        <xdr:cNvGrpSpPr/>
      </xdr:nvGrpSpPr>
      <xdr:grpSpPr>
        <a:xfrm>
          <a:off x="20044352" y="8082479"/>
          <a:ext cx="6006523" cy="5448945"/>
          <a:chOff x="19671645" y="8249994"/>
          <a:chExt cx="5883788" cy="5619543"/>
        </a:xfrm>
      </xdr:grpSpPr>
      <xdr:sp macro="" textlink="">
        <xdr:nvSpPr>
          <xdr:cNvPr id="33" name="角丸四角形 32"/>
          <xdr:cNvSpPr/>
        </xdr:nvSpPr>
        <xdr:spPr>
          <a:xfrm>
            <a:off x="19671645" y="10099344"/>
            <a:ext cx="5848441" cy="3685785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20009587" y="10082283"/>
            <a:ext cx="5545846" cy="37872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ja-JP" altLang="en-US" sz="1600" u="sng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預り金利息の金額は、次のとおり算出してください</a:t>
            </a:r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。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利息＝　細則４．（１）に定める金額に対する利息（Ａ）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　　　＋細則４．（２）に定める金額に対する利息（Ｂ）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　　　＋細則４．（３）に定める金額に対する利息（Ｃ）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　　　＋細則４．（４）に定める金額に対する利息（Ｄ）</a:t>
            </a:r>
            <a:endParaRPr lang="en-US" altLang="ja-JP" sz="1600" strike="sng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（Ａ）　＝</a:t>
            </a:r>
            <a:r>
              <a:rPr lang="ja-JP" altLang="en-US" sz="1600" baseline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細則４．（１）に定める金額（積数）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　　　　</a:t>
            </a:r>
            <a:r>
              <a:rPr kumimoji="1" lang="en-US" altLang="ja-JP" sz="1600">
                <a:solidFill>
                  <a:srgbClr val="FF0000"/>
                </a:solidFill>
                <a:latin typeface="+mn-ea"/>
                <a:ea typeface="+mn-ea"/>
              </a:rPr>
              <a:t>×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細則４．（１）に定める利率（％）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　　　　</a:t>
            </a:r>
            <a:r>
              <a:rPr kumimoji="1" lang="en-US" altLang="ja-JP" sz="1600">
                <a:solidFill>
                  <a:srgbClr val="FF0000"/>
                </a:solidFill>
                <a:latin typeface="+mn-ea"/>
                <a:ea typeface="+mn-ea"/>
              </a:rPr>
              <a:t>÷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１００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　　　　</a:t>
            </a:r>
            <a:r>
              <a:rPr kumimoji="1" lang="en-US" altLang="ja-JP" sz="1600">
                <a:solidFill>
                  <a:srgbClr val="FF0000"/>
                </a:solidFill>
                <a:latin typeface="+mn-ea"/>
                <a:ea typeface="+mn-ea"/>
              </a:rPr>
              <a:t>÷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３６５（円位未満切捨）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r>
              <a:rPr kumimoji="1" lang="en-US" altLang="ja-JP" sz="1600">
                <a:solidFill>
                  <a:sysClr val="windowText" lastClr="000000"/>
                </a:solidFill>
                <a:latin typeface="+mn-ea"/>
                <a:ea typeface="+mn-ea"/>
              </a:rPr>
              <a:t>―</a:t>
            </a:r>
            <a:r>
              <a:rPr kumimoji="1" lang="ja-JP" altLang="en-US" sz="1600">
                <a:solidFill>
                  <a:sysClr val="windowText" lastClr="000000"/>
                </a:solidFill>
                <a:latin typeface="+mn-ea"/>
                <a:ea typeface="+mn-ea"/>
              </a:rPr>
              <a:t>　（Ｂ）から（Ｄ）までについても同様に算出してください。</a:t>
            </a:r>
            <a:endParaRPr kumimoji="1" lang="en-US" altLang="ja-JP" sz="160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35" name="右矢印 34"/>
          <xdr:cNvSpPr/>
        </xdr:nvSpPr>
        <xdr:spPr>
          <a:xfrm rot="16200000">
            <a:off x="24231661" y="9074110"/>
            <a:ext cx="1893209" cy="244977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618451</xdr:colOff>
      <xdr:row>6</xdr:row>
      <xdr:rowOff>261746</xdr:rowOff>
    </xdr:from>
    <xdr:to>
      <xdr:col>27</xdr:col>
      <xdr:colOff>204052</xdr:colOff>
      <xdr:row>8</xdr:row>
      <xdr:rowOff>358254</xdr:rowOff>
    </xdr:to>
    <xdr:sp macro="" textlink="">
      <xdr:nvSpPr>
        <xdr:cNvPr id="36" name="角丸四角形 35"/>
        <xdr:cNvSpPr/>
      </xdr:nvSpPr>
      <xdr:spPr>
        <a:xfrm>
          <a:off x="18087586" y="2513626"/>
          <a:ext cx="7433064" cy="847136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826269</xdr:colOff>
      <xdr:row>6</xdr:row>
      <xdr:rowOff>209788</xdr:rowOff>
    </xdr:from>
    <xdr:to>
      <xdr:col>27</xdr:col>
      <xdr:colOff>3655</xdr:colOff>
      <xdr:row>10</xdr:row>
      <xdr:rowOff>85300</xdr:rowOff>
    </xdr:to>
    <xdr:sp macro="" textlink="">
      <xdr:nvSpPr>
        <xdr:cNvPr id="37" name="テキスト ボックス 36"/>
        <xdr:cNvSpPr txBox="1"/>
      </xdr:nvSpPr>
      <xdr:spPr>
        <a:xfrm>
          <a:off x="18295404" y="2461668"/>
          <a:ext cx="7024849" cy="1001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「⑨日本銀行に報告する金額」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「⑭日本銀行への申出金額」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については、</a:t>
          </a:r>
          <a:r>
            <a:rPr lang="ja-JP" altLang="en-US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積数ベース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の金額を、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「⑩日本銀行が通知する金額」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については、</a:t>
          </a:r>
          <a:r>
            <a:rPr lang="ja-JP" altLang="en-US" sz="16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日次ベース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の金額を入力してください。</a:t>
          </a:r>
        </a:p>
      </xdr:txBody>
    </xdr:sp>
    <xdr:clientData/>
  </xdr:twoCellAnchor>
  <xdr:twoCellAnchor>
    <xdr:from>
      <xdr:col>21</xdr:col>
      <xdr:colOff>66312</xdr:colOff>
      <xdr:row>6</xdr:row>
      <xdr:rowOff>38804</xdr:rowOff>
    </xdr:from>
    <xdr:to>
      <xdr:col>22</xdr:col>
      <xdr:colOff>220137</xdr:colOff>
      <xdr:row>6</xdr:row>
      <xdr:rowOff>279837</xdr:rowOff>
    </xdr:to>
    <xdr:sp macro="" textlink="">
      <xdr:nvSpPr>
        <xdr:cNvPr id="38" name="右矢印 37"/>
        <xdr:cNvSpPr/>
      </xdr:nvSpPr>
      <xdr:spPr>
        <a:xfrm rot="16200000">
          <a:off x="19419588" y="2180751"/>
          <a:ext cx="241033" cy="4609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321671</xdr:colOff>
      <xdr:row>3</xdr:row>
      <xdr:rowOff>103908</xdr:rowOff>
    </xdr:from>
    <xdr:to>
      <xdr:col>20</xdr:col>
      <xdr:colOff>624071</xdr:colOff>
      <xdr:row>7</xdr:row>
      <xdr:rowOff>17490</xdr:rowOff>
    </xdr:to>
    <xdr:sp macro="" textlink="">
      <xdr:nvSpPr>
        <xdr:cNvPr id="39" name="右矢印 38"/>
        <xdr:cNvSpPr/>
      </xdr:nvSpPr>
      <xdr:spPr>
        <a:xfrm rot="13909054">
          <a:off x="19219716" y="1693272"/>
          <a:ext cx="1056582" cy="3024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1541319</xdr:colOff>
      <xdr:row>6</xdr:row>
      <xdr:rowOff>256424</xdr:rowOff>
    </xdr:from>
    <xdr:to>
      <xdr:col>20</xdr:col>
      <xdr:colOff>722228</xdr:colOff>
      <xdr:row>7</xdr:row>
      <xdr:rowOff>195142</xdr:rowOff>
    </xdr:to>
    <xdr:sp macro="" textlink="">
      <xdr:nvSpPr>
        <xdr:cNvPr id="40" name="右矢印 39"/>
        <xdr:cNvSpPr/>
      </xdr:nvSpPr>
      <xdr:spPr>
        <a:xfrm rot="13274396">
          <a:off x="19015364" y="2248015"/>
          <a:ext cx="982000" cy="3024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1459562</xdr:colOff>
      <xdr:row>13</xdr:row>
      <xdr:rowOff>228222</xdr:rowOff>
    </xdr:from>
    <xdr:to>
      <xdr:col>5</xdr:col>
      <xdr:colOff>29218</xdr:colOff>
      <xdr:row>21</xdr:row>
      <xdr:rowOff>250333</xdr:rowOff>
    </xdr:to>
    <xdr:sp macro="" textlink="">
      <xdr:nvSpPr>
        <xdr:cNvPr id="26" name="右矢印 25"/>
        <xdr:cNvSpPr/>
      </xdr:nvSpPr>
      <xdr:spPr>
        <a:xfrm rot="14344638">
          <a:off x="2577721" y="5846835"/>
          <a:ext cx="3156702" cy="370747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252849</xdr:rowOff>
    </xdr:from>
    <xdr:to>
      <xdr:col>5</xdr:col>
      <xdr:colOff>484908</xdr:colOff>
      <xdr:row>4</xdr:row>
      <xdr:rowOff>69274</xdr:rowOff>
    </xdr:to>
    <xdr:sp macro="" textlink="">
      <xdr:nvSpPr>
        <xdr:cNvPr id="27" name="右矢印 26"/>
        <xdr:cNvSpPr/>
      </xdr:nvSpPr>
      <xdr:spPr>
        <a:xfrm rot="10800000">
          <a:off x="4312227" y="1291940"/>
          <a:ext cx="484908" cy="33597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784746</xdr:colOff>
      <xdr:row>36</xdr:row>
      <xdr:rowOff>136479</xdr:rowOff>
    </xdr:from>
    <xdr:to>
      <xdr:col>21</xdr:col>
      <xdr:colOff>2637</xdr:colOff>
      <xdr:row>41</xdr:row>
      <xdr:rowOff>153538</xdr:rowOff>
    </xdr:to>
    <xdr:grpSp>
      <xdr:nvGrpSpPr>
        <xdr:cNvPr id="66" name="グループ化 65"/>
        <xdr:cNvGrpSpPr/>
      </xdr:nvGrpSpPr>
      <xdr:grpSpPr>
        <a:xfrm>
          <a:off x="12897371" y="13201604"/>
          <a:ext cx="6710891" cy="1922059"/>
          <a:chOff x="19895799" y="14875491"/>
          <a:chExt cx="5598219" cy="1637730"/>
        </a:xfrm>
      </xdr:grpSpPr>
      <xdr:sp macro="" textlink="">
        <xdr:nvSpPr>
          <xdr:cNvPr id="67" name="角丸四角形吹き出し 66"/>
          <xdr:cNvSpPr/>
        </xdr:nvSpPr>
        <xdr:spPr>
          <a:xfrm>
            <a:off x="19895799" y="14875491"/>
            <a:ext cx="5598219" cy="1310754"/>
          </a:xfrm>
          <a:prstGeom prst="wedgeRoundRectCallout">
            <a:avLst>
              <a:gd name="adj1" fmla="val 28180"/>
              <a:gd name="adj2" fmla="val -49436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テキスト ボックス 67"/>
          <xdr:cNvSpPr txBox="1"/>
        </xdr:nvSpPr>
        <xdr:spPr>
          <a:xfrm>
            <a:off x="20028606" y="14937337"/>
            <a:ext cx="5287991" cy="157588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T-4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2023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11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月）、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T-3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2023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12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月）、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T-2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2024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月）積み期間の</a:t>
            </a:r>
            <a:r>
              <a:rPr kumimoji="1" lang="ja-JP" altLang="en-US" sz="17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本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ツールの＜付利対象残高枠の利用状況＞</a:t>
            </a:r>
            <a:r>
              <a:rPr kumimoji="1" lang="ja-JP" altLang="en-US" sz="1700" u="sng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の全て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において「</a:t>
            </a:r>
            <a:r>
              <a:rPr kumimoji="1" lang="ja-JP" altLang="en-US" sz="17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○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」が表示された先は、⑬に「</a:t>
            </a:r>
            <a:r>
              <a:rPr kumimoji="1" lang="ja-JP" altLang="en-US" sz="17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○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」を選択してください。</a:t>
            </a:r>
          </a:p>
        </xdr:txBody>
      </xdr:sp>
    </xdr:grpSp>
    <xdr:clientData/>
  </xdr:twoCellAnchor>
  <xdr:twoCellAnchor>
    <xdr:from>
      <xdr:col>32</xdr:col>
      <xdr:colOff>68240</xdr:colOff>
      <xdr:row>15</xdr:row>
      <xdr:rowOff>34118</xdr:rowOff>
    </xdr:from>
    <xdr:to>
      <xdr:col>43</xdr:col>
      <xdr:colOff>77462</xdr:colOff>
      <xdr:row>23</xdr:row>
      <xdr:rowOff>34118</xdr:rowOff>
    </xdr:to>
    <xdr:sp macro="" textlink="">
      <xdr:nvSpPr>
        <xdr:cNvPr id="69" name="角丸四角形 68"/>
        <xdr:cNvSpPr/>
      </xdr:nvSpPr>
      <xdr:spPr>
        <a:xfrm>
          <a:off x="26203703" y="5220268"/>
          <a:ext cx="5775402" cy="3138985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170596</xdr:colOff>
      <xdr:row>23</xdr:row>
      <xdr:rowOff>34268</xdr:rowOff>
    </xdr:from>
    <xdr:to>
      <xdr:col>43</xdr:col>
      <xdr:colOff>185845</xdr:colOff>
      <xdr:row>38</xdr:row>
      <xdr:rowOff>364056</xdr:rowOff>
    </xdr:to>
    <xdr:grpSp>
      <xdr:nvGrpSpPr>
        <xdr:cNvPr id="41" name="グループ化 40"/>
        <xdr:cNvGrpSpPr/>
      </xdr:nvGrpSpPr>
      <xdr:grpSpPr>
        <a:xfrm>
          <a:off x="26554846" y="8146393"/>
          <a:ext cx="6142999" cy="6044788"/>
          <a:chOff x="19654586" y="7699057"/>
          <a:chExt cx="6020264" cy="5033608"/>
        </a:xfrm>
      </xdr:grpSpPr>
      <xdr:sp macro="" textlink="">
        <xdr:nvSpPr>
          <xdr:cNvPr id="42" name="角丸四角形 41"/>
          <xdr:cNvSpPr/>
        </xdr:nvSpPr>
        <xdr:spPr>
          <a:xfrm>
            <a:off x="19654586" y="9077103"/>
            <a:ext cx="5848441" cy="3655562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0129004" y="9083787"/>
            <a:ext cx="5545846" cy="35534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ja-JP" altLang="en-US" sz="1600" u="sng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預り金利息の金額は、次のとおり算出してください</a:t>
            </a:r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。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利息＝　細則４．（１）に定める金額に対する利息（Ａ）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　　　＋細則４．（２）に定める金額に対する利息（Ｂ）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　　　＋細則４．（３）に定める金額に対する利息（Ｃ）</a:t>
            </a:r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　　　＋細則４．（４）に定める金額に対する利息（Ｄ）</a:t>
            </a:r>
            <a:endParaRPr lang="en-US" altLang="ja-JP" sz="1600" strike="sng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lang="ja-JP" altLang="en-US" sz="160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（Ａ）　＝</a:t>
            </a:r>
            <a:r>
              <a:rPr lang="ja-JP" altLang="en-US" sz="1600" baseline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細則４．（１）に定める金額（積数）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　　　　</a:t>
            </a:r>
            <a:r>
              <a:rPr kumimoji="1" lang="en-US" altLang="ja-JP" sz="1600">
                <a:solidFill>
                  <a:srgbClr val="FF0000"/>
                </a:solidFill>
                <a:latin typeface="+mn-ea"/>
                <a:ea typeface="+mn-ea"/>
              </a:rPr>
              <a:t>×</a:t>
            </a:r>
            <a:r>
              <a:rPr kumimoji="1" lang="ja-JP" altLang="en-US" sz="1600" b="0">
                <a:solidFill>
                  <a:srgbClr val="FF0000"/>
                </a:solidFill>
                <a:latin typeface="+mn-ea"/>
                <a:ea typeface="+mn-ea"/>
              </a:rPr>
              <a:t>細則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４．（１）に定める利率（％）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　　　　</a:t>
            </a:r>
            <a:r>
              <a:rPr kumimoji="1" lang="en-US" altLang="ja-JP" sz="1600">
                <a:solidFill>
                  <a:srgbClr val="FF0000"/>
                </a:solidFill>
                <a:latin typeface="+mn-ea"/>
                <a:ea typeface="+mn-ea"/>
              </a:rPr>
              <a:t>÷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１００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　　　　</a:t>
            </a:r>
            <a:r>
              <a:rPr kumimoji="1" lang="en-US" altLang="ja-JP" sz="1600">
                <a:solidFill>
                  <a:srgbClr val="FF0000"/>
                </a:solidFill>
                <a:latin typeface="+mn-ea"/>
                <a:ea typeface="+mn-ea"/>
              </a:rPr>
              <a:t>÷</a:t>
            </a:r>
            <a:r>
              <a:rPr kumimoji="1" lang="ja-JP" altLang="en-US" sz="1600">
                <a:solidFill>
                  <a:srgbClr val="FF0000"/>
                </a:solidFill>
                <a:latin typeface="+mn-ea"/>
                <a:ea typeface="+mn-ea"/>
              </a:rPr>
              <a:t>３６５（円位未満切捨）</a:t>
            </a:r>
            <a:endParaRPr kumimoji="1" lang="en-US" altLang="ja-JP" sz="1600">
              <a:solidFill>
                <a:srgbClr val="FF0000"/>
              </a:solidFill>
              <a:latin typeface="+mn-ea"/>
              <a:ea typeface="+mn-ea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r>
              <a:rPr kumimoji="1" lang="en-US" altLang="ja-JP" sz="1600">
                <a:solidFill>
                  <a:sysClr val="windowText" lastClr="000000"/>
                </a:solidFill>
                <a:latin typeface="+mn-ea"/>
                <a:ea typeface="+mn-ea"/>
              </a:rPr>
              <a:t>―</a:t>
            </a:r>
            <a:r>
              <a:rPr kumimoji="1" lang="ja-JP" altLang="en-US" sz="1600">
                <a:solidFill>
                  <a:sysClr val="windowText" lastClr="000000"/>
                </a:solidFill>
                <a:latin typeface="+mn-ea"/>
                <a:ea typeface="+mn-ea"/>
              </a:rPr>
              <a:t>　（Ｂ）から（Ｄ）までについても同様に算出してください。</a:t>
            </a:r>
            <a:endParaRPr kumimoji="1" lang="en-US" altLang="ja-JP" sz="16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+mn-ea"/>
                <a:ea typeface="+mn-ea"/>
              </a:rPr>
              <a:t>　　　ただし、（</a:t>
            </a:r>
            <a:r>
              <a:rPr kumimoji="1" lang="en-US" altLang="ja-JP" sz="1600">
                <a:solidFill>
                  <a:sysClr val="windowText" lastClr="000000"/>
                </a:solidFill>
                <a:latin typeface="+mn-ea"/>
                <a:ea typeface="+mn-ea"/>
              </a:rPr>
              <a:t>C</a:t>
            </a:r>
            <a:r>
              <a:rPr kumimoji="1" lang="ja-JP" altLang="en-US" sz="1600">
                <a:solidFill>
                  <a:sysClr val="windowText" lastClr="000000"/>
                </a:solidFill>
                <a:latin typeface="+mn-ea"/>
                <a:ea typeface="+mn-ea"/>
              </a:rPr>
              <a:t>）および（</a:t>
            </a:r>
            <a:r>
              <a:rPr kumimoji="1" lang="en-US" altLang="ja-JP" sz="1600">
                <a:solidFill>
                  <a:sysClr val="windowText" lastClr="000000"/>
                </a:solidFill>
                <a:latin typeface="+mn-ea"/>
                <a:ea typeface="+mn-ea"/>
              </a:rPr>
              <a:t>D</a:t>
            </a:r>
            <a:r>
              <a:rPr kumimoji="1" lang="ja-JP" altLang="en-US" sz="1600">
                <a:solidFill>
                  <a:sysClr val="windowText" lastClr="000000"/>
                </a:solidFill>
                <a:latin typeface="+mn-ea"/>
                <a:ea typeface="+mn-ea"/>
              </a:rPr>
              <a:t>）の利率については、いずれも</a:t>
            </a:r>
            <a:endParaRPr kumimoji="1" lang="en-US" altLang="ja-JP" sz="16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+mn-ea"/>
                <a:ea typeface="+mn-ea"/>
              </a:rPr>
              <a:t>　　　０．１％となります。</a:t>
            </a:r>
            <a:endParaRPr kumimoji="1" lang="en-US" altLang="ja-JP" sz="160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44" name="右矢印 43"/>
          <xdr:cNvSpPr/>
        </xdr:nvSpPr>
        <xdr:spPr>
          <a:xfrm rot="16200000">
            <a:off x="24352799" y="8300891"/>
            <a:ext cx="1430969" cy="227301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121228</xdr:colOff>
      <xdr:row>6</xdr:row>
      <xdr:rowOff>103909</xdr:rowOff>
    </xdr:from>
    <xdr:to>
      <xdr:col>2</xdr:col>
      <xdr:colOff>242455</xdr:colOff>
      <xdr:row>8</xdr:row>
      <xdr:rowOff>51955</xdr:rowOff>
    </xdr:to>
    <xdr:sp macro="" textlink="">
      <xdr:nvSpPr>
        <xdr:cNvPr id="2" name="直角三角形 1"/>
        <xdr:cNvSpPr/>
      </xdr:nvSpPr>
      <xdr:spPr>
        <a:xfrm rot="8207171">
          <a:off x="230410" y="2342142"/>
          <a:ext cx="721729" cy="685025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111702</xdr:colOff>
      <xdr:row>6</xdr:row>
      <xdr:rowOff>51955</xdr:rowOff>
    </xdr:from>
    <xdr:to>
      <xdr:col>6</xdr:col>
      <xdr:colOff>0</xdr:colOff>
      <xdr:row>7</xdr:row>
      <xdr:rowOff>294409</xdr:rowOff>
    </xdr:to>
    <xdr:sp macro="" textlink="">
      <xdr:nvSpPr>
        <xdr:cNvPr id="3" name="角丸四角形吹き出し 2"/>
        <xdr:cNvSpPr/>
      </xdr:nvSpPr>
      <xdr:spPr>
        <a:xfrm>
          <a:off x="111702" y="2290188"/>
          <a:ext cx="5906961" cy="610943"/>
        </a:xfrm>
        <a:prstGeom prst="wedgeRoundRectCallout">
          <a:avLst>
            <a:gd name="adj1" fmla="val 13310"/>
            <a:gd name="adj2" fmla="val 467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519546</xdr:colOff>
      <xdr:row>39</xdr:row>
      <xdr:rowOff>207815</xdr:rowOff>
    </xdr:from>
    <xdr:to>
      <xdr:col>26</xdr:col>
      <xdr:colOff>1246910</xdr:colOff>
      <xdr:row>41</xdr:row>
      <xdr:rowOff>77063</xdr:rowOff>
    </xdr:to>
    <xdr:sp macro="" textlink="">
      <xdr:nvSpPr>
        <xdr:cNvPr id="4" name="直角三角形 3"/>
        <xdr:cNvSpPr/>
      </xdr:nvSpPr>
      <xdr:spPr>
        <a:xfrm rot="8220000">
          <a:off x="22840459" y="14674442"/>
          <a:ext cx="727364" cy="647170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571499</xdr:colOff>
      <xdr:row>8</xdr:row>
      <xdr:rowOff>225138</xdr:rowOff>
    </xdr:from>
    <xdr:to>
      <xdr:col>11</xdr:col>
      <xdr:colOff>1298863</xdr:colOff>
      <xdr:row>11</xdr:row>
      <xdr:rowOff>155865</xdr:rowOff>
    </xdr:to>
    <xdr:sp macro="" textlink="">
      <xdr:nvSpPr>
        <xdr:cNvPr id="5" name="直角三角形 4"/>
        <xdr:cNvSpPr/>
      </xdr:nvSpPr>
      <xdr:spPr>
        <a:xfrm rot="-2580000">
          <a:off x="8364371" y="3200350"/>
          <a:ext cx="727364" cy="674530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536864</xdr:colOff>
      <xdr:row>8</xdr:row>
      <xdr:rowOff>225137</xdr:rowOff>
    </xdr:from>
    <xdr:to>
      <xdr:col>3</xdr:col>
      <xdr:colOff>1264228</xdr:colOff>
      <xdr:row>11</xdr:row>
      <xdr:rowOff>155864</xdr:rowOff>
    </xdr:to>
    <xdr:sp macro="" textlink="">
      <xdr:nvSpPr>
        <xdr:cNvPr id="6" name="直角三角形 5"/>
        <xdr:cNvSpPr/>
      </xdr:nvSpPr>
      <xdr:spPr>
        <a:xfrm rot="-2580000">
          <a:off x="3007109" y="3200349"/>
          <a:ext cx="727364" cy="674530"/>
        </a:xfrm>
        <a:prstGeom prst="rtTriangl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2098342</xdr:colOff>
      <xdr:row>7</xdr:row>
      <xdr:rowOff>315442</xdr:rowOff>
    </xdr:from>
    <xdr:to>
      <xdr:col>15</xdr:col>
      <xdr:colOff>1347716</xdr:colOff>
      <xdr:row>11</xdr:row>
      <xdr:rowOff>-1</xdr:rowOff>
    </xdr:to>
    <xdr:sp macro="" textlink="">
      <xdr:nvSpPr>
        <xdr:cNvPr id="7" name="角丸四角形吹き出し 6"/>
        <xdr:cNvSpPr/>
      </xdr:nvSpPr>
      <xdr:spPr>
        <a:xfrm>
          <a:off x="8546910" y="2942637"/>
          <a:ext cx="3957851" cy="810497"/>
        </a:xfrm>
        <a:prstGeom prst="wedgeRoundRectCallout">
          <a:avLst>
            <a:gd name="adj1" fmla="val 13310"/>
            <a:gd name="adj2" fmla="val 467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162049</xdr:colOff>
      <xdr:row>8</xdr:row>
      <xdr:rowOff>50403</xdr:rowOff>
    </xdr:from>
    <xdr:ext cx="3688772" cy="873333"/>
    <xdr:sp macro="" textlink="">
      <xdr:nvSpPr>
        <xdr:cNvPr id="8" name="テキスト ボックス 7"/>
        <xdr:cNvSpPr txBox="1"/>
      </xdr:nvSpPr>
      <xdr:spPr>
        <a:xfrm>
          <a:off x="7792872" y="3025615"/>
          <a:ext cx="3688772" cy="8733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マクロ加算残高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」は、法定準備預金額を除く残高をいいます。</a:t>
          </a:r>
        </a:p>
      </xdr:txBody>
    </xdr:sp>
    <xdr:clientData/>
  </xdr:oneCellAnchor>
  <xdr:twoCellAnchor>
    <xdr:from>
      <xdr:col>23</xdr:col>
      <xdr:colOff>51955</xdr:colOff>
      <xdr:row>39</xdr:row>
      <xdr:rowOff>190499</xdr:rowOff>
    </xdr:from>
    <xdr:to>
      <xdr:col>27</xdr:col>
      <xdr:colOff>122830</xdr:colOff>
      <xdr:row>44</xdr:row>
      <xdr:rowOff>170597</xdr:rowOff>
    </xdr:to>
    <xdr:grpSp>
      <xdr:nvGrpSpPr>
        <xdr:cNvPr id="18" name="グループ化 17"/>
        <xdr:cNvGrpSpPr/>
      </xdr:nvGrpSpPr>
      <xdr:grpSpPr>
        <a:xfrm>
          <a:off x="22178388" y="14793604"/>
          <a:ext cx="5598217" cy="1941963"/>
          <a:chOff x="19895799" y="14875491"/>
          <a:chExt cx="5598219" cy="1351697"/>
        </a:xfrm>
      </xdr:grpSpPr>
      <xdr:sp macro="" textlink="">
        <xdr:nvSpPr>
          <xdr:cNvPr id="9" name="角丸四角形吹き出し 8"/>
          <xdr:cNvSpPr/>
        </xdr:nvSpPr>
        <xdr:spPr>
          <a:xfrm>
            <a:off x="19895799" y="14875491"/>
            <a:ext cx="5598219" cy="1310754"/>
          </a:xfrm>
          <a:prstGeom prst="wedgeRoundRectCallout">
            <a:avLst>
              <a:gd name="adj1" fmla="val 28180"/>
              <a:gd name="adj2" fmla="val -49436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20028606" y="14937337"/>
            <a:ext cx="5287991" cy="128985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T-4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2023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11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月）、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T-3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2023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12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月）、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T-2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2024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</a:t>
            </a:r>
            <a:r>
              <a:rPr kumimoji="1" lang="en-US" altLang="ja-JP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月）積み期間の本ツールの＜付利対象残高枠の利用状況＞</a:t>
            </a:r>
            <a:r>
              <a:rPr kumimoji="1" lang="ja-JP" altLang="en-US" sz="1700" u="sng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の全て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において「</a:t>
            </a:r>
            <a:r>
              <a:rPr kumimoji="1" lang="ja-JP" altLang="en-US" sz="17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○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」が表示された先は、⑬に「</a:t>
            </a:r>
            <a:r>
              <a:rPr kumimoji="1" lang="ja-JP" altLang="en-US" sz="17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○</a:t>
            </a:r>
            <a:r>
              <a:rPr kumimoji="1" lang="ja-JP" altLang="en-US" sz="17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」を選択してください。</a:t>
            </a:r>
          </a:p>
        </xdr:txBody>
      </xdr:sp>
    </xdr:grpSp>
    <xdr:clientData/>
  </xdr:twoCellAnchor>
  <xdr:twoCellAnchor>
    <xdr:from>
      <xdr:col>2</xdr:col>
      <xdr:colOff>21340</xdr:colOff>
      <xdr:row>7</xdr:row>
      <xdr:rowOff>305232</xdr:rowOff>
    </xdr:from>
    <xdr:to>
      <xdr:col>8</xdr:col>
      <xdr:colOff>1056409</xdr:colOff>
      <xdr:row>11</xdr:row>
      <xdr:rowOff>218642</xdr:rowOff>
    </xdr:to>
    <xdr:sp macro="" textlink="">
      <xdr:nvSpPr>
        <xdr:cNvPr id="11" name="角丸四角形吹き出し 10"/>
        <xdr:cNvSpPr/>
      </xdr:nvSpPr>
      <xdr:spPr>
        <a:xfrm>
          <a:off x="731024" y="2911954"/>
          <a:ext cx="6344048" cy="1025703"/>
        </a:xfrm>
        <a:prstGeom prst="wedgeRoundRectCallout">
          <a:avLst>
            <a:gd name="adj1" fmla="val -11653"/>
            <a:gd name="adj2" fmla="val 48270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17317</xdr:colOff>
      <xdr:row>8</xdr:row>
      <xdr:rowOff>12983</xdr:rowOff>
    </xdr:from>
    <xdr:ext cx="6286501" cy="1073728"/>
    <xdr:sp macro="" textlink="">
      <xdr:nvSpPr>
        <xdr:cNvPr id="12" name="テキスト ボックス 11"/>
        <xdr:cNvSpPr txBox="1"/>
      </xdr:nvSpPr>
      <xdr:spPr>
        <a:xfrm>
          <a:off x="727001" y="2988195"/>
          <a:ext cx="6286501" cy="10737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対象借入れ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」は、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成長基盤強化支援資金供給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貸出増加支援資金供給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被災地金融機関支援オペ</a:t>
          </a:r>
          <a:r>
            <a:rPr kumimoji="1" lang="ja-JP" altLang="en-US" sz="17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7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気候変動対応オペ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をいいます。</a:t>
          </a:r>
        </a:p>
      </xdr:txBody>
    </xdr:sp>
    <xdr:clientData/>
  </xdr:oneCellAnchor>
  <xdr:oneCellAnchor>
    <xdr:from>
      <xdr:col>1</xdr:col>
      <xdr:colOff>34636</xdr:colOff>
      <xdr:row>6</xdr:row>
      <xdr:rowOff>16696</xdr:rowOff>
    </xdr:from>
    <xdr:ext cx="5836227" cy="1073728"/>
    <xdr:sp macro="" textlink="">
      <xdr:nvSpPr>
        <xdr:cNvPr id="13" name="テキスト ボックス 12"/>
        <xdr:cNvSpPr txBox="1"/>
      </xdr:nvSpPr>
      <xdr:spPr>
        <a:xfrm>
          <a:off x="143818" y="2254929"/>
          <a:ext cx="5836227" cy="10737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③基準比率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」が「０」でない場合には、「</a:t>
          </a:r>
          <a:r>
            <a:rPr kumimoji="1" lang="ja-JP" altLang="en-US" sz="1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④加算比率</a:t>
          </a:r>
          <a:r>
            <a:rPr kumimoji="1" lang="ja-JP" altLang="en-US" sz="17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」には「１００」を入力してください。</a:t>
          </a:r>
        </a:p>
        <a:p>
          <a:endParaRPr kumimoji="1" lang="ja-JP" altLang="en-US" sz="17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1573705</xdr:colOff>
      <xdr:row>39</xdr:row>
      <xdr:rowOff>290014</xdr:rowOff>
    </xdr:from>
    <xdr:to>
      <xdr:col>11</xdr:col>
      <xdr:colOff>1586551</xdr:colOff>
      <xdr:row>46</xdr:row>
      <xdr:rowOff>199158</xdr:rowOff>
    </xdr:to>
    <xdr:cxnSp macro="">
      <xdr:nvCxnSpPr>
        <xdr:cNvPr id="18" name="直線矢印コネクタ 17"/>
        <xdr:cNvCxnSpPr/>
      </xdr:nvCxnSpPr>
      <xdr:spPr>
        <a:xfrm flipH="1">
          <a:off x="9352930" y="14756642"/>
          <a:ext cx="12846" cy="2655756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324134</xdr:colOff>
      <xdr:row>35</xdr:row>
      <xdr:rowOff>190500</xdr:rowOff>
    </xdr:from>
    <xdr:to>
      <xdr:col>24</xdr:col>
      <xdr:colOff>952500</xdr:colOff>
      <xdr:row>38</xdr:row>
      <xdr:rowOff>102359</xdr:rowOff>
    </xdr:to>
    <xdr:cxnSp macro="">
      <xdr:nvCxnSpPr>
        <xdr:cNvPr id="19" name="直線矢印コネクタ 18"/>
        <xdr:cNvCxnSpPr/>
      </xdr:nvCxnSpPr>
      <xdr:spPr>
        <a:xfrm flipV="1">
          <a:off x="12197687" y="13087635"/>
          <a:ext cx="8714663" cy="1088977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290014</xdr:colOff>
      <xdr:row>23</xdr:row>
      <xdr:rowOff>17059</xdr:rowOff>
    </xdr:from>
    <xdr:to>
      <xdr:col>25</xdr:col>
      <xdr:colOff>2268941</xdr:colOff>
      <xdr:row>38</xdr:row>
      <xdr:rowOff>85300</xdr:rowOff>
    </xdr:to>
    <xdr:cxnSp macro="">
      <xdr:nvCxnSpPr>
        <xdr:cNvPr id="20" name="直線矢印コネクタ 19"/>
        <xdr:cNvCxnSpPr/>
      </xdr:nvCxnSpPr>
      <xdr:spPr>
        <a:xfrm flipV="1">
          <a:off x="11890612" y="8342194"/>
          <a:ext cx="11054687" cy="5817359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2166583</xdr:colOff>
      <xdr:row>46</xdr:row>
      <xdr:rowOff>268431</xdr:rowOff>
    </xdr:from>
    <xdr:to>
      <xdr:col>16</xdr:col>
      <xdr:colOff>173182</xdr:colOff>
      <xdr:row>48</xdr:row>
      <xdr:rowOff>34119</xdr:rowOff>
    </xdr:to>
    <xdr:sp macro="" textlink="">
      <xdr:nvSpPr>
        <xdr:cNvPr id="21" name="角丸四角形 20"/>
        <xdr:cNvSpPr/>
      </xdr:nvSpPr>
      <xdr:spPr>
        <a:xfrm>
          <a:off x="6397388" y="17481671"/>
          <a:ext cx="6877644" cy="448076"/>
        </a:xfrm>
        <a:prstGeom prst="roundRect">
          <a:avLst/>
        </a:prstGeom>
        <a:noFill/>
        <a:ln w="38100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665328</xdr:colOff>
      <xdr:row>37</xdr:row>
      <xdr:rowOff>236246</xdr:rowOff>
    </xdr:from>
    <xdr:to>
      <xdr:col>17</xdr:col>
      <xdr:colOff>327495</xdr:colOff>
      <xdr:row>41</xdr:row>
      <xdr:rowOff>204717</xdr:rowOff>
    </xdr:to>
    <xdr:grpSp>
      <xdr:nvGrpSpPr>
        <xdr:cNvPr id="51" name="グループ化 50"/>
        <xdr:cNvGrpSpPr/>
      </xdr:nvGrpSpPr>
      <xdr:grpSpPr>
        <a:xfrm>
          <a:off x="7096836" y="13918126"/>
          <a:ext cx="6605464" cy="1537964"/>
          <a:chOff x="6888243" y="9840858"/>
          <a:chExt cx="5210447" cy="1264657"/>
        </a:xfrm>
      </xdr:grpSpPr>
      <xdr:sp macro="" textlink="">
        <xdr:nvSpPr>
          <xdr:cNvPr id="22" name="フローチャート : 代替処理 15"/>
          <xdr:cNvSpPr/>
        </xdr:nvSpPr>
        <xdr:spPr bwMode="auto">
          <a:xfrm>
            <a:off x="6888243" y="9840858"/>
            <a:ext cx="5141420" cy="819507"/>
          </a:xfrm>
          <a:prstGeom prst="flowChartAlternateProcess">
            <a:avLst/>
          </a:prstGeom>
          <a:solidFill>
            <a:schemeClr val="accent3">
              <a:lumMod val="40000"/>
              <a:lumOff val="60000"/>
            </a:schemeClr>
          </a:solidFill>
          <a:ln w="3810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6888243" y="9945713"/>
            <a:ext cx="5210447" cy="11598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/>
              <a:t>「合計」欄の値は、日次ベースの値を合計しているため、端数処理の結果、積数ベースの値と異なることがあります。</a:t>
            </a:r>
          </a:p>
          <a:p>
            <a:endParaRPr kumimoji="1" lang="ja-JP" altLang="en-US" sz="1600"/>
          </a:p>
        </xdr:txBody>
      </xdr:sp>
    </xdr:grp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21471</xdr:colOff>
      <xdr:row>37</xdr:row>
      <xdr:rowOff>13170</xdr:rowOff>
    </xdr:to>
    <xdr:sp macro="" textlink="">
      <xdr:nvSpPr>
        <xdr:cNvPr id="24" name="角丸四角形 23"/>
        <xdr:cNvSpPr/>
      </xdr:nvSpPr>
      <xdr:spPr>
        <a:xfrm>
          <a:off x="22565591" y="11672455"/>
          <a:ext cx="1926471" cy="2403079"/>
        </a:xfrm>
        <a:prstGeom prst="roundRect">
          <a:avLst/>
        </a:prstGeom>
        <a:noFill/>
        <a:ln w="38100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21</xdr:row>
      <xdr:rowOff>68238</xdr:rowOff>
    </xdr:from>
    <xdr:to>
      <xdr:col>26</xdr:col>
      <xdr:colOff>2059958</xdr:colOff>
      <xdr:row>22</xdr:row>
      <xdr:rowOff>341193</xdr:rowOff>
    </xdr:to>
    <xdr:sp macro="" textlink="">
      <xdr:nvSpPr>
        <xdr:cNvPr id="25" name="角丸四角形 24"/>
        <xdr:cNvSpPr/>
      </xdr:nvSpPr>
      <xdr:spPr>
        <a:xfrm>
          <a:off x="22962358" y="7608626"/>
          <a:ext cx="2059958" cy="665327"/>
        </a:xfrm>
        <a:prstGeom prst="roundRect">
          <a:avLst/>
        </a:prstGeom>
        <a:noFill/>
        <a:ln w="38100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335974</xdr:colOff>
      <xdr:row>27</xdr:row>
      <xdr:rowOff>330778</xdr:rowOff>
    </xdr:from>
    <xdr:to>
      <xdr:col>26</xdr:col>
      <xdr:colOff>110837</xdr:colOff>
      <xdr:row>37</xdr:row>
      <xdr:rowOff>87086</xdr:rowOff>
    </xdr:to>
    <xdr:sp macro="" textlink="">
      <xdr:nvSpPr>
        <xdr:cNvPr id="27" name="角丸四角形 26"/>
        <xdr:cNvSpPr/>
      </xdr:nvSpPr>
      <xdr:spPr>
        <a:xfrm>
          <a:off x="21710074" y="10351078"/>
          <a:ext cx="2098963" cy="3756808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1296536</xdr:colOff>
      <xdr:row>23</xdr:row>
      <xdr:rowOff>34119</xdr:rowOff>
    </xdr:from>
    <xdr:to>
      <xdr:col>25</xdr:col>
      <xdr:colOff>301625</xdr:colOff>
      <xdr:row>28</xdr:row>
      <xdr:rowOff>317500</xdr:rowOff>
    </xdr:to>
    <xdr:cxnSp macro="">
      <xdr:nvCxnSpPr>
        <xdr:cNvPr id="28" name="直線矢印コネクタ 27"/>
        <xdr:cNvCxnSpPr/>
      </xdr:nvCxnSpPr>
      <xdr:spPr>
        <a:xfrm>
          <a:off x="18509776" y="8359254"/>
          <a:ext cx="2468207" cy="2245246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1148262</xdr:colOff>
      <xdr:row>19</xdr:row>
      <xdr:rowOff>54553</xdr:rowOff>
    </xdr:from>
    <xdr:to>
      <xdr:col>26</xdr:col>
      <xdr:colOff>204717</xdr:colOff>
      <xdr:row>23</xdr:row>
      <xdr:rowOff>20573</xdr:rowOff>
    </xdr:to>
    <xdr:cxnSp macro="">
      <xdr:nvCxnSpPr>
        <xdr:cNvPr id="29" name="直線矢印コネクタ 28"/>
        <xdr:cNvCxnSpPr>
          <a:endCxn id="31" idx="1"/>
        </xdr:cNvCxnSpPr>
      </xdr:nvCxnSpPr>
      <xdr:spPr>
        <a:xfrm flipV="1">
          <a:off x="18361502" y="6810196"/>
          <a:ext cx="4805573" cy="1535512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139992</xdr:colOff>
      <xdr:row>19</xdr:row>
      <xdr:rowOff>40277</xdr:rowOff>
    </xdr:from>
    <xdr:to>
      <xdr:col>21</xdr:col>
      <xdr:colOff>68239</xdr:colOff>
      <xdr:row>27</xdr:row>
      <xdr:rowOff>221775</xdr:rowOff>
    </xdr:to>
    <xdr:sp macro="" textlink="">
      <xdr:nvSpPr>
        <xdr:cNvPr id="30" name="テキスト ボックス 29"/>
        <xdr:cNvSpPr txBox="1"/>
      </xdr:nvSpPr>
      <xdr:spPr>
        <a:xfrm>
          <a:off x="15647260" y="6795920"/>
          <a:ext cx="6325637" cy="3320483"/>
        </a:xfrm>
        <a:prstGeom prst="flowChartAlternateProcess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ysClr val="windowText" lastClr="000000"/>
              </a:solidFill>
            </a:rPr>
            <a:t>＜付利対象残高</a:t>
          </a:r>
          <a:r>
            <a:rPr kumimoji="1" lang="en-US" altLang="ja-JP" sz="1600" b="1">
              <a:solidFill>
                <a:srgbClr val="FF0000"/>
              </a:solidFill>
            </a:rPr>
            <a:t>A</a:t>
          </a:r>
          <a:r>
            <a:rPr kumimoji="1" lang="ja-JP" altLang="en-US" sz="1600" b="1">
              <a:solidFill>
                <a:sysClr val="windowText" lastClr="000000"/>
              </a:solidFill>
            </a:rPr>
            <a:t>（積数ベース）＞</a:t>
          </a:r>
          <a:r>
            <a:rPr kumimoji="1" lang="ja-JP" altLang="en-US" sz="1600" b="0">
              <a:solidFill>
                <a:sysClr val="windowText" lastClr="000000"/>
              </a:solidFill>
            </a:rPr>
            <a:t>の各カテゴリーの残高については、期間</a:t>
          </a:r>
          <a:r>
            <a:rPr kumimoji="1" lang="en-US" altLang="ja-JP" sz="1600" b="0">
              <a:solidFill>
                <a:sysClr val="windowText" lastClr="000000"/>
              </a:solidFill>
            </a:rPr>
            <a:t>A</a:t>
          </a:r>
          <a:r>
            <a:rPr kumimoji="1" lang="ja-JP" altLang="en-US" sz="1600" b="0">
              <a:solidFill>
                <a:sysClr val="windowText" lastClr="000000"/>
              </a:solidFill>
            </a:rPr>
            <a:t>の対象預金の残高の合計</a:t>
          </a:r>
          <a:r>
            <a:rPr kumimoji="1" lang="en-US" altLang="ja-JP" sz="1600" b="0">
              <a:solidFill>
                <a:srgbClr val="FF0000"/>
              </a:solidFill>
            </a:rPr>
            <a:t>【ⅰ】</a:t>
          </a:r>
          <a:r>
            <a:rPr kumimoji="1" lang="ja-JP" altLang="en-US" sz="1600" b="0">
              <a:solidFill>
                <a:sysClr val="windowText" lastClr="000000"/>
              </a:solidFill>
            </a:rPr>
            <a:t>を、各カテゴリー</a:t>
          </a:r>
          <a:r>
            <a:rPr kumimoji="1" lang="ja-JP" altLang="en-US" sz="1600">
              <a:solidFill>
                <a:sysClr val="windowText" lastClr="000000"/>
              </a:solidFill>
            </a:rPr>
            <a:t>の上限値の順（法定準備預金額</a:t>
          </a:r>
          <a:r>
            <a:rPr kumimoji="1" lang="en-US" altLang="ja-JP" sz="1600">
              <a:solidFill>
                <a:srgbClr val="FF0000"/>
              </a:solidFill>
            </a:rPr>
            <a:t>【ⅷ】</a:t>
          </a:r>
          <a:r>
            <a:rPr kumimoji="1" lang="ja-JP" altLang="en-US" sz="1600">
              <a:solidFill>
                <a:sysClr val="windowText" lastClr="000000"/>
              </a:solidFill>
            </a:rPr>
            <a:t>→基礎残高</a:t>
          </a:r>
          <a:r>
            <a:rPr kumimoji="1" lang="en-US" altLang="ja-JP" sz="1600">
              <a:solidFill>
                <a:srgbClr val="FF0000"/>
              </a:solidFill>
            </a:rPr>
            <a:t>【ⅸ】</a:t>
          </a:r>
          <a:r>
            <a:rPr kumimoji="1" lang="ja-JP" altLang="en-US" sz="1600">
              <a:solidFill>
                <a:sysClr val="windowText" lastClr="000000"/>
              </a:solidFill>
            </a:rPr>
            <a:t>→マクロ加算残高</a:t>
          </a:r>
          <a:r>
            <a:rPr kumimoji="1" lang="en-US" altLang="ja-JP" sz="1600">
              <a:solidFill>
                <a:srgbClr val="FF0000"/>
              </a:solidFill>
            </a:rPr>
            <a:t>【x】</a:t>
          </a:r>
          <a:r>
            <a:rPr kumimoji="1" lang="ja-JP" altLang="en-US" sz="1600">
              <a:solidFill>
                <a:sysClr val="windowText" lastClr="000000"/>
              </a:solidFill>
            </a:rPr>
            <a:t>）に割り当てていくことで、算出します（マクロ加算残高に割り当ててもなお、残高が残る場合には、残った残高をすべて政策金利残高に割り当てます）。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本入力例では、マクロ加算残高</a:t>
          </a:r>
          <a:r>
            <a:rPr kumimoji="1" lang="en-US" altLang="ja-JP" sz="1600">
              <a:solidFill>
                <a:srgbClr val="FF0000"/>
              </a:solidFill>
            </a:rPr>
            <a:t>【ⅶ】</a:t>
          </a:r>
          <a:r>
            <a:rPr kumimoji="1" lang="ja-JP" altLang="en-US" sz="1600">
              <a:solidFill>
                <a:sysClr val="windowText" lastClr="000000"/>
              </a:solidFill>
            </a:rPr>
            <a:t>まで残高を割り当てます。残った当該残高（未利用枠</a:t>
          </a:r>
          <a:r>
            <a:rPr kumimoji="1" lang="en-US" altLang="ja-JP" sz="1600">
              <a:solidFill>
                <a:srgbClr val="FF0000"/>
              </a:solidFill>
            </a:rPr>
            <a:t>【x</a:t>
          </a:r>
          <a:r>
            <a:rPr kumimoji="1" lang="ja-JP" altLang="en-US" sz="1600">
              <a:solidFill>
                <a:srgbClr val="FF0000"/>
              </a:solidFill>
            </a:rPr>
            <a:t>－</a:t>
          </a:r>
          <a:r>
            <a:rPr kumimoji="1" lang="en-US" altLang="ja-JP" sz="1600">
              <a:solidFill>
                <a:srgbClr val="FF0000"/>
              </a:solidFill>
            </a:rPr>
            <a:t>ⅶ】</a:t>
          </a:r>
          <a:r>
            <a:rPr kumimoji="1" lang="ja-JP" altLang="en-US" sz="1600">
              <a:solidFill>
                <a:sysClr val="windowText" lastClr="000000"/>
              </a:solidFill>
            </a:rPr>
            <a:t>：約３１８億円）については、期間</a:t>
          </a:r>
          <a:r>
            <a:rPr kumimoji="1" lang="en-US" altLang="ja-JP" sz="1600">
              <a:solidFill>
                <a:sysClr val="windowText" lastClr="000000"/>
              </a:solidFill>
            </a:rPr>
            <a:t>B</a:t>
          </a:r>
          <a:r>
            <a:rPr kumimoji="1" lang="ja-JP" altLang="en-US" sz="1600">
              <a:solidFill>
                <a:sysClr val="windowText" lastClr="000000"/>
              </a:solidFill>
            </a:rPr>
            <a:t>のマクロ加算残高の上限値</a:t>
          </a:r>
          <a:r>
            <a:rPr kumimoji="1" lang="en-US" altLang="ja-JP" sz="1600">
              <a:solidFill>
                <a:srgbClr val="FF0000"/>
              </a:solidFill>
            </a:rPr>
            <a:t>【xvi】</a:t>
          </a:r>
          <a:r>
            <a:rPr kumimoji="1" lang="ja-JP" altLang="en-US" sz="1600">
              <a:solidFill>
                <a:sysClr val="windowText" lastClr="000000"/>
              </a:solidFill>
            </a:rPr>
            <a:t>に割り当てます。</a:t>
          </a:r>
        </a:p>
        <a:p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204717</xdr:colOff>
      <xdr:row>15</xdr:row>
      <xdr:rowOff>57151</xdr:rowOff>
    </xdr:from>
    <xdr:to>
      <xdr:col>27</xdr:col>
      <xdr:colOff>51954</xdr:colOff>
      <xdr:row>23</xdr:row>
      <xdr:rowOff>51955</xdr:rowOff>
    </xdr:to>
    <xdr:sp macro="" textlink="">
      <xdr:nvSpPr>
        <xdr:cNvPr id="31" name="角丸四角形 30"/>
        <xdr:cNvSpPr/>
      </xdr:nvSpPr>
      <xdr:spPr>
        <a:xfrm>
          <a:off x="23167075" y="5243301"/>
          <a:ext cx="1945582" cy="3133789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170599</xdr:colOff>
      <xdr:row>38</xdr:row>
      <xdr:rowOff>17060</xdr:rowOff>
    </xdr:from>
    <xdr:to>
      <xdr:col>21</xdr:col>
      <xdr:colOff>121135</xdr:colOff>
      <xdr:row>48</xdr:row>
      <xdr:rowOff>119417</xdr:rowOff>
    </xdr:to>
    <xdr:sp macro="" textlink="">
      <xdr:nvSpPr>
        <xdr:cNvPr id="33" name="角丸四角形 32"/>
        <xdr:cNvSpPr/>
      </xdr:nvSpPr>
      <xdr:spPr>
        <a:xfrm>
          <a:off x="15677867" y="14091313"/>
          <a:ext cx="6347926" cy="3923732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600" b="1">
              <a:solidFill>
                <a:schemeClr val="tx1"/>
              </a:solidFill>
            </a:rPr>
            <a:t>＜付利対象残高</a:t>
          </a:r>
          <a:r>
            <a:rPr lang="en-US" altLang="ja-JP" sz="1600" b="1">
              <a:solidFill>
                <a:srgbClr val="FF0000"/>
              </a:solidFill>
            </a:rPr>
            <a:t>B</a:t>
          </a:r>
          <a:r>
            <a:rPr lang="ja-JP" altLang="en-US" sz="1600" b="1">
              <a:solidFill>
                <a:schemeClr val="tx1"/>
              </a:solidFill>
            </a:rPr>
            <a:t>（積数ベース）＞</a:t>
          </a:r>
          <a:r>
            <a:rPr lang="ja-JP" altLang="en-US" sz="1600" b="0">
              <a:solidFill>
                <a:schemeClr val="tx1"/>
              </a:solidFill>
            </a:rPr>
            <a:t>の</a:t>
          </a:r>
          <a:r>
            <a:rPr lang="ja-JP" altLang="en-US" sz="1600">
              <a:solidFill>
                <a:schemeClr val="tx1"/>
              </a:solidFill>
            </a:rPr>
            <a:t>各カテゴリーの残高については、期間</a:t>
          </a:r>
          <a:r>
            <a:rPr lang="en-US" altLang="ja-JP" sz="1600">
              <a:solidFill>
                <a:schemeClr val="tx1"/>
              </a:solidFill>
            </a:rPr>
            <a:t>B</a:t>
          </a:r>
          <a:r>
            <a:rPr lang="ja-JP" altLang="en-US" sz="1600">
              <a:solidFill>
                <a:schemeClr val="tx1"/>
              </a:solidFill>
            </a:rPr>
            <a:t>の対象預金の残高の合計</a:t>
          </a:r>
          <a:r>
            <a:rPr lang="en-US" altLang="ja-JP" sz="1600">
              <a:solidFill>
                <a:srgbClr val="FF0000"/>
              </a:solidFill>
            </a:rPr>
            <a:t>【ⅰ】</a:t>
          </a:r>
          <a:r>
            <a:rPr lang="ja-JP" altLang="en-US" sz="1600">
              <a:solidFill>
                <a:schemeClr val="tx1"/>
              </a:solidFill>
            </a:rPr>
            <a:t>を、期間</a:t>
          </a:r>
          <a:r>
            <a:rPr lang="en-US" altLang="ja-JP" sz="1600">
              <a:solidFill>
                <a:schemeClr val="tx1"/>
              </a:solidFill>
            </a:rPr>
            <a:t>B</a:t>
          </a:r>
          <a:r>
            <a:rPr lang="ja-JP" altLang="en-US" sz="1600">
              <a:solidFill>
                <a:schemeClr val="tx1"/>
              </a:solidFill>
            </a:rPr>
            <a:t>の各上限値の順に割り当てていくことで、算出します。</a:t>
          </a:r>
          <a:endParaRPr lang="en-US" altLang="ja-JP" sz="1600">
            <a:solidFill>
              <a:schemeClr val="tx1"/>
            </a:solidFill>
          </a:endParaRPr>
        </a:p>
        <a:p>
          <a:endParaRPr lang="en-US" altLang="ja-JP" sz="1600">
            <a:solidFill>
              <a:schemeClr val="tx1"/>
            </a:solidFill>
          </a:endParaRPr>
        </a:p>
        <a:p>
          <a:r>
            <a:rPr lang="ja-JP" altLang="en-US" sz="1600">
              <a:solidFill>
                <a:schemeClr val="tx1"/>
              </a:solidFill>
            </a:rPr>
            <a:t>本入力例では、期間</a:t>
          </a:r>
          <a:r>
            <a:rPr lang="en-US" altLang="ja-JP" sz="1600">
              <a:solidFill>
                <a:schemeClr val="tx1"/>
              </a:solidFill>
            </a:rPr>
            <a:t>A</a:t>
          </a:r>
          <a:r>
            <a:rPr lang="ja-JP" altLang="en-US" sz="1600">
              <a:solidFill>
                <a:schemeClr val="tx1"/>
              </a:solidFill>
            </a:rPr>
            <a:t>において法定準備預金額と基礎残高の利用枠をすべて利用し、上限値に達している一方、マクロ加算残高の利用枠については上限値に達していません。</a:t>
          </a:r>
        </a:p>
        <a:p>
          <a:r>
            <a:rPr lang="ja-JP" altLang="en-US" sz="1600">
              <a:solidFill>
                <a:schemeClr val="tx1"/>
              </a:solidFill>
            </a:rPr>
            <a:t>この点、期間</a:t>
          </a:r>
          <a:r>
            <a:rPr lang="en-US" altLang="ja-JP" sz="1600">
              <a:solidFill>
                <a:schemeClr val="tx1"/>
              </a:solidFill>
            </a:rPr>
            <a:t>B</a:t>
          </a:r>
          <a:r>
            <a:rPr lang="ja-JP" altLang="en-US" sz="1600">
              <a:solidFill>
                <a:schemeClr val="tx1"/>
              </a:solidFill>
            </a:rPr>
            <a:t>のマクロ加算残高</a:t>
          </a:r>
          <a:r>
            <a:rPr lang="en-US" altLang="ja-JP" sz="1600">
              <a:solidFill>
                <a:srgbClr val="FF0000"/>
              </a:solidFill>
            </a:rPr>
            <a:t>【xⅲ】</a:t>
          </a:r>
          <a:r>
            <a:rPr lang="ja-JP" altLang="en-US" sz="1600">
              <a:solidFill>
                <a:schemeClr val="tx1"/>
              </a:solidFill>
            </a:rPr>
            <a:t>には、期間</a:t>
          </a:r>
          <a:r>
            <a:rPr lang="en-US" altLang="ja-JP" sz="1600">
              <a:solidFill>
                <a:schemeClr val="tx1"/>
              </a:solidFill>
            </a:rPr>
            <a:t>A</a:t>
          </a:r>
          <a:r>
            <a:rPr lang="ja-JP" altLang="en-US" sz="1600">
              <a:solidFill>
                <a:schemeClr val="tx1"/>
              </a:solidFill>
            </a:rPr>
            <a:t>のマクロ加算残高の未利用枠を割り当てたうえで、期間</a:t>
          </a:r>
          <a:r>
            <a:rPr lang="en-US" altLang="ja-JP" sz="1600">
              <a:solidFill>
                <a:schemeClr val="tx1"/>
              </a:solidFill>
            </a:rPr>
            <a:t>B</a:t>
          </a:r>
          <a:r>
            <a:rPr lang="ja-JP" altLang="en-US" sz="1600">
              <a:solidFill>
                <a:schemeClr val="tx1"/>
              </a:solidFill>
            </a:rPr>
            <a:t>の対象預金の金額</a:t>
          </a:r>
          <a:r>
            <a:rPr lang="en-US" altLang="ja-JP" sz="1600">
              <a:solidFill>
                <a:srgbClr val="FF0000"/>
              </a:solidFill>
            </a:rPr>
            <a:t>【ⅰ】</a:t>
          </a:r>
          <a:r>
            <a:rPr lang="ja-JP" altLang="en-US" sz="1600">
              <a:solidFill>
                <a:schemeClr val="tx1"/>
              </a:solidFill>
            </a:rPr>
            <a:t>を割り当てることになります。この際、期間</a:t>
          </a:r>
          <a:r>
            <a:rPr lang="en-US" altLang="ja-JP" sz="1600">
              <a:solidFill>
                <a:schemeClr val="tx1"/>
              </a:solidFill>
            </a:rPr>
            <a:t>B</a:t>
          </a:r>
          <a:r>
            <a:rPr lang="ja-JP" altLang="en-US" sz="1600">
              <a:solidFill>
                <a:schemeClr val="tx1"/>
              </a:solidFill>
            </a:rPr>
            <a:t>の対象預金の金額</a:t>
          </a:r>
          <a:r>
            <a:rPr lang="en-US" altLang="ja-JP" sz="1600">
              <a:solidFill>
                <a:srgbClr val="FF0000"/>
              </a:solidFill>
            </a:rPr>
            <a:t>【ⅰ】</a:t>
          </a:r>
          <a:r>
            <a:rPr lang="ja-JP" altLang="en-US" sz="1600">
              <a:solidFill>
                <a:schemeClr val="tx1"/>
              </a:solidFill>
            </a:rPr>
            <a:t>は、マクロ加算残高の上限値</a:t>
          </a:r>
          <a:r>
            <a:rPr lang="en-US" altLang="ja-JP" sz="1600">
              <a:solidFill>
                <a:srgbClr val="FF0000"/>
              </a:solidFill>
            </a:rPr>
            <a:t>【xvi】</a:t>
          </a:r>
          <a:r>
            <a:rPr lang="ja-JP" altLang="en-US" sz="1600">
              <a:solidFill>
                <a:schemeClr val="tx1"/>
              </a:solidFill>
            </a:rPr>
            <a:t>よりも小さいことから、期間</a:t>
          </a:r>
          <a:r>
            <a:rPr lang="en-US" altLang="ja-JP" sz="1600">
              <a:solidFill>
                <a:schemeClr val="tx1"/>
              </a:solidFill>
            </a:rPr>
            <a:t>B</a:t>
          </a:r>
          <a:r>
            <a:rPr lang="ja-JP" altLang="en-US" sz="1600">
              <a:solidFill>
                <a:schemeClr val="tx1"/>
              </a:solidFill>
            </a:rPr>
            <a:t>のマクロ加算残高</a:t>
          </a:r>
          <a:r>
            <a:rPr lang="en-US" altLang="ja-JP" sz="1600">
              <a:solidFill>
                <a:srgbClr val="FF0000"/>
              </a:solidFill>
            </a:rPr>
            <a:t>【xⅲ】</a:t>
          </a:r>
          <a:r>
            <a:rPr lang="ja-JP" altLang="en-US" sz="1600">
              <a:solidFill>
                <a:schemeClr val="tx1"/>
              </a:solidFill>
            </a:rPr>
            <a:t>には対象預金の金額</a:t>
          </a:r>
          <a:r>
            <a:rPr lang="en-US" altLang="ja-JP" sz="1600">
              <a:solidFill>
                <a:srgbClr val="FF0000"/>
              </a:solidFill>
            </a:rPr>
            <a:t>【ⅰ】</a:t>
          </a:r>
          <a:r>
            <a:rPr lang="ja-JP" altLang="en-US" sz="1600">
              <a:solidFill>
                <a:schemeClr val="tx1"/>
              </a:solidFill>
            </a:rPr>
            <a:t>全額を割り当てることになります。</a:t>
          </a:r>
          <a:endParaRPr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34120</xdr:colOff>
      <xdr:row>16</xdr:row>
      <xdr:rowOff>68238</xdr:rowOff>
    </xdr:from>
    <xdr:to>
      <xdr:col>11</xdr:col>
      <xdr:colOff>85297</xdr:colOff>
      <xdr:row>17</xdr:row>
      <xdr:rowOff>324135</xdr:rowOff>
    </xdr:to>
    <xdr:cxnSp macro="">
      <xdr:nvCxnSpPr>
        <xdr:cNvPr id="32" name="直線矢印コネクタ 31"/>
        <xdr:cNvCxnSpPr/>
      </xdr:nvCxnSpPr>
      <xdr:spPr>
        <a:xfrm flipH="1">
          <a:off x="2490718" y="5646761"/>
          <a:ext cx="5373804" cy="648269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1398895</xdr:colOff>
      <xdr:row>13</xdr:row>
      <xdr:rowOff>119417</xdr:rowOff>
    </xdr:from>
    <xdr:to>
      <xdr:col>26</xdr:col>
      <xdr:colOff>119418</xdr:colOff>
      <xdr:row>15</xdr:row>
      <xdr:rowOff>238836</xdr:rowOff>
    </xdr:to>
    <xdr:cxnSp macro="">
      <xdr:nvCxnSpPr>
        <xdr:cNvPr id="35" name="直線矢印コネクタ 34"/>
        <xdr:cNvCxnSpPr/>
      </xdr:nvCxnSpPr>
      <xdr:spPr>
        <a:xfrm flipV="1">
          <a:off x="12999493" y="4554940"/>
          <a:ext cx="10082283" cy="870046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1654791</xdr:colOff>
      <xdr:row>13</xdr:row>
      <xdr:rowOff>204716</xdr:rowOff>
    </xdr:from>
    <xdr:to>
      <xdr:col>34</xdr:col>
      <xdr:colOff>2268939</xdr:colOff>
      <xdr:row>19</xdr:row>
      <xdr:rowOff>17060</xdr:rowOff>
    </xdr:to>
    <xdr:cxnSp macro="">
      <xdr:nvCxnSpPr>
        <xdr:cNvPr id="36" name="直線矢印コネクタ 35"/>
        <xdr:cNvCxnSpPr/>
      </xdr:nvCxnSpPr>
      <xdr:spPr>
        <a:xfrm flipV="1">
          <a:off x="13255389" y="4640239"/>
          <a:ext cx="16036118" cy="2132464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14</xdr:row>
      <xdr:rowOff>342900</xdr:rowOff>
    </xdr:from>
    <xdr:to>
      <xdr:col>3</xdr:col>
      <xdr:colOff>57150</xdr:colOff>
      <xdr:row>19</xdr:row>
      <xdr:rowOff>323850</xdr:rowOff>
    </xdr:to>
    <xdr:sp macro="" textlink="">
      <xdr:nvSpPr>
        <xdr:cNvPr id="37" name="角丸四角形 36"/>
        <xdr:cNvSpPr/>
      </xdr:nvSpPr>
      <xdr:spPr>
        <a:xfrm>
          <a:off x="692908" y="5153735"/>
          <a:ext cx="1820840" cy="1925758"/>
        </a:xfrm>
        <a:prstGeom prst="roundRect">
          <a:avLst/>
        </a:prstGeom>
        <a:noFill/>
        <a:ln w="571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153538</xdr:colOff>
      <xdr:row>12</xdr:row>
      <xdr:rowOff>323850</xdr:rowOff>
    </xdr:from>
    <xdr:to>
      <xdr:col>27</xdr:col>
      <xdr:colOff>76200</xdr:colOff>
      <xdr:row>15</xdr:row>
      <xdr:rowOff>0</xdr:rowOff>
    </xdr:to>
    <xdr:sp macro="" textlink="">
      <xdr:nvSpPr>
        <xdr:cNvPr id="38" name="角丸四角形 37"/>
        <xdr:cNvSpPr/>
      </xdr:nvSpPr>
      <xdr:spPr>
        <a:xfrm>
          <a:off x="23115896" y="4384060"/>
          <a:ext cx="2021007" cy="802090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20</xdr:row>
      <xdr:rowOff>38100</xdr:rowOff>
    </xdr:from>
    <xdr:to>
      <xdr:col>3</xdr:col>
      <xdr:colOff>95250</xdr:colOff>
      <xdr:row>46</xdr:row>
      <xdr:rowOff>38100</xdr:rowOff>
    </xdr:to>
    <xdr:sp macro="" textlink="">
      <xdr:nvSpPr>
        <xdr:cNvPr id="39" name="角丸四角形 38"/>
        <xdr:cNvSpPr/>
      </xdr:nvSpPr>
      <xdr:spPr>
        <a:xfrm>
          <a:off x="742950" y="7258050"/>
          <a:ext cx="1866900" cy="10401300"/>
        </a:xfrm>
        <a:prstGeom prst="round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95252</xdr:colOff>
      <xdr:row>20</xdr:row>
      <xdr:rowOff>221776</xdr:rowOff>
    </xdr:from>
    <xdr:to>
      <xdr:col>11</xdr:col>
      <xdr:colOff>494730</xdr:colOff>
      <xdr:row>22</xdr:row>
      <xdr:rowOff>323850</xdr:rowOff>
    </xdr:to>
    <xdr:cxnSp macro="">
      <xdr:nvCxnSpPr>
        <xdr:cNvPr id="40" name="直線矢印コネクタ 39"/>
        <xdr:cNvCxnSpPr/>
      </xdr:nvCxnSpPr>
      <xdr:spPr>
        <a:xfrm flipH="1">
          <a:off x="2551850" y="7369791"/>
          <a:ext cx="5722105" cy="886819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136477</xdr:colOff>
      <xdr:row>13</xdr:row>
      <xdr:rowOff>0</xdr:rowOff>
    </xdr:from>
    <xdr:to>
      <xdr:col>36</xdr:col>
      <xdr:colOff>34121</xdr:colOff>
      <xdr:row>15</xdr:row>
      <xdr:rowOff>57150</xdr:rowOff>
    </xdr:to>
    <xdr:sp macro="" textlink="">
      <xdr:nvSpPr>
        <xdr:cNvPr id="41" name="角丸四角形 40"/>
        <xdr:cNvSpPr/>
      </xdr:nvSpPr>
      <xdr:spPr>
        <a:xfrm>
          <a:off x="29445045" y="4435523"/>
          <a:ext cx="1995986" cy="807777"/>
        </a:xfrm>
        <a:prstGeom prst="roundRect">
          <a:avLst/>
        </a:prstGeom>
        <a:noFill/>
        <a:ln w="57150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81643</xdr:colOff>
      <xdr:row>35</xdr:row>
      <xdr:rowOff>272143</xdr:rowOff>
    </xdr:from>
    <xdr:to>
      <xdr:col>27</xdr:col>
      <xdr:colOff>47005</xdr:colOff>
      <xdr:row>37</xdr:row>
      <xdr:rowOff>82879</xdr:rowOff>
    </xdr:to>
    <xdr:sp macro="" textlink="">
      <xdr:nvSpPr>
        <xdr:cNvPr id="42" name="角丸四角形 41"/>
        <xdr:cNvSpPr/>
      </xdr:nvSpPr>
      <xdr:spPr>
        <a:xfrm>
          <a:off x="23635607" y="13335000"/>
          <a:ext cx="2088077" cy="599950"/>
        </a:xfrm>
        <a:prstGeom prst="roundRect">
          <a:avLst/>
        </a:prstGeom>
        <a:noFill/>
        <a:ln w="381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102358</xdr:colOff>
      <xdr:row>22</xdr:row>
      <xdr:rowOff>190500</xdr:rowOff>
    </xdr:from>
    <xdr:to>
      <xdr:col>35</xdr:col>
      <xdr:colOff>158750</xdr:colOff>
      <xdr:row>40</xdr:row>
      <xdr:rowOff>136478</xdr:rowOff>
    </xdr:to>
    <xdr:cxnSp macro="">
      <xdr:nvCxnSpPr>
        <xdr:cNvPr id="43" name="直線矢印コネクタ 42"/>
        <xdr:cNvCxnSpPr/>
      </xdr:nvCxnSpPr>
      <xdr:spPr>
        <a:xfrm flipV="1">
          <a:off x="19089806" y="8123260"/>
          <a:ext cx="10377512" cy="6872218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153537</xdr:colOff>
      <xdr:row>36</xdr:row>
      <xdr:rowOff>204716</xdr:rowOff>
    </xdr:from>
    <xdr:to>
      <xdr:col>34</xdr:col>
      <xdr:colOff>34119</xdr:colOff>
      <xdr:row>40</xdr:row>
      <xdr:rowOff>102358</xdr:rowOff>
    </xdr:to>
    <xdr:cxnSp macro="">
      <xdr:nvCxnSpPr>
        <xdr:cNvPr id="44" name="直線矢印コネクタ 43"/>
        <xdr:cNvCxnSpPr/>
      </xdr:nvCxnSpPr>
      <xdr:spPr>
        <a:xfrm flipV="1">
          <a:off x="19140985" y="13494224"/>
          <a:ext cx="7915702" cy="1467134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85299</xdr:colOff>
      <xdr:row>27</xdr:row>
      <xdr:rowOff>269875</xdr:rowOff>
    </xdr:from>
    <xdr:to>
      <xdr:col>35</xdr:col>
      <xdr:colOff>12989</xdr:colOff>
      <xdr:row>37</xdr:row>
      <xdr:rowOff>26183</xdr:rowOff>
    </xdr:to>
    <xdr:sp macro="" textlink="">
      <xdr:nvSpPr>
        <xdr:cNvPr id="45" name="角丸四角形 44"/>
        <xdr:cNvSpPr/>
      </xdr:nvSpPr>
      <xdr:spPr>
        <a:xfrm>
          <a:off x="27107867" y="10164503"/>
          <a:ext cx="2213690" cy="3543560"/>
        </a:xfrm>
        <a:prstGeom prst="roundRect">
          <a:avLst/>
        </a:prstGeom>
        <a:noFill/>
        <a:ln w="38100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142875</xdr:colOff>
      <xdr:row>15</xdr:row>
      <xdr:rowOff>79375</xdr:rowOff>
    </xdr:from>
    <xdr:to>
      <xdr:col>36</xdr:col>
      <xdr:colOff>34120</xdr:colOff>
      <xdr:row>23</xdr:row>
      <xdr:rowOff>79375</xdr:rowOff>
    </xdr:to>
    <xdr:sp macro="" textlink="">
      <xdr:nvSpPr>
        <xdr:cNvPr id="47" name="角丸四角形 46"/>
        <xdr:cNvSpPr/>
      </xdr:nvSpPr>
      <xdr:spPr>
        <a:xfrm>
          <a:off x="29451443" y="5265525"/>
          <a:ext cx="1989587" cy="3138985"/>
        </a:xfrm>
        <a:prstGeom prst="roundRect">
          <a:avLst/>
        </a:prstGeom>
        <a:noFill/>
        <a:ln w="38100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1552432</xdr:colOff>
      <xdr:row>18</xdr:row>
      <xdr:rowOff>153537</xdr:rowOff>
    </xdr:from>
    <xdr:to>
      <xdr:col>17</xdr:col>
      <xdr:colOff>1665795</xdr:colOff>
      <xdr:row>20</xdr:row>
      <xdr:rowOff>255895</xdr:rowOff>
    </xdr:to>
    <xdr:sp macro="" textlink="">
      <xdr:nvSpPr>
        <xdr:cNvPr id="46" name="角丸四角形 45"/>
        <xdr:cNvSpPr/>
      </xdr:nvSpPr>
      <xdr:spPr>
        <a:xfrm>
          <a:off x="7983940" y="6516805"/>
          <a:ext cx="7056660" cy="88710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600">
              <a:solidFill>
                <a:sysClr val="windowText" lastClr="000000"/>
              </a:solidFill>
            </a:rPr>
            <a:t>期間</a:t>
          </a:r>
          <a:r>
            <a:rPr lang="en-US" altLang="ja-JP" sz="1600">
              <a:solidFill>
                <a:sysClr val="windowText" lastClr="000000"/>
              </a:solidFill>
            </a:rPr>
            <a:t>B</a:t>
          </a:r>
          <a:r>
            <a:rPr lang="ja-JP" altLang="en-US" sz="1600">
              <a:solidFill>
                <a:sysClr val="windowText" lastClr="000000"/>
              </a:solidFill>
            </a:rPr>
            <a:t>の対象預金の残高の合計が、</a:t>
          </a:r>
          <a:r>
            <a:rPr lang="ja-JP" altLang="en-US" sz="1600" b="1">
              <a:solidFill>
                <a:sysClr val="windowText" lastClr="000000"/>
              </a:solidFill>
            </a:rPr>
            <a:t>＜付利対象残高</a:t>
          </a:r>
          <a:r>
            <a:rPr lang="en-US" altLang="ja-JP" sz="1600" b="1">
              <a:solidFill>
                <a:srgbClr val="FF0000"/>
              </a:solidFill>
            </a:rPr>
            <a:t>B</a:t>
          </a:r>
          <a:r>
            <a:rPr lang="ja-JP" altLang="en-US" sz="1600" b="1">
              <a:solidFill>
                <a:sysClr val="windowText" lastClr="000000"/>
              </a:solidFill>
            </a:rPr>
            <a:t>（積数ベース）＞の</a:t>
          </a:r>
          <a:r>
            <a:rPr lang="en-US" altLang="ja-JP" sz="1600" b="1">
              <a:solidFill>
                <a:srgbClr val="FF0000"/>
              </a:solidFill>
            </a:rPr>
            <a:t>【ⅰ】</a:t>
          </a:r>
          <a:r>
            <a:rPr lang="ja-JP" altLang="en-US" sz="1600">
              <a:solidFill>
                <a:sysClr val="windowText" lastClr="000000"/>
              </a:solidFill>
            </a:rPr>
            <a:t>に表示されます。</a:t>
          </a:r>
        </a:p>
      </xdr:txBody>
    </xdr:sp>
    <xdr:clientData/>
  </xdr:twoCellAnchor>
  <xdr:twoCellAnchor>
    <xdr:from>
      <xdr:col>8</xdr:col>
      <xdr:colOff>1330656</xdr:colOff>
      <xdr:row>14</xdr:row>
      <xdr:rowOff>48910</xdr:rowOff>
    </xdr:from>
    <xdr:to>
      <xdr:col>17</xdr:col>
      <xdr:colOff>1340241</xdr:colOff>
      <xdr:row>16</xdr:row>
      <xdr:rowOff>136478</xdr:rowOff>
    </xdr:to>
    <xdr:sp macro="" textlink="">
      <xdr:nvSpPr>
        <xdr:cNvPr id="34" name="角丸四角形 33"/>
        <xdr:cNvSpPr/>
      </xdr:nvSpPr>
      <xdr:spPr>
        <a:xfrm>
          <a:off x="7762164" y="4859745"/>
          <a:ext cx="6952882" cy="8552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600">
              <a:solidFill>
                <a:sysClr val="windowText" lastClr="000000"/>
              </a:solidFill>
            </a:rPr>
            <a:t>期間</a:t>
          </a:r>
          <a:r>
            <a:rPr lang="en-US" altLang="ja-JP" sz="1600" b="0">
              <a:solidFill>
                <a:sysClr val="windowText" lastClr="000000"/>
              </a:solidFill>
            </a:rPr>
            <a:t>A</a:t>
          </a:r>
          <a:r>
            <a:rPr lang="ja-JP" altLang="en-US" sz="1600">
              <a:solidFill>
                <a:sysClr val="windowText" lastClr="000000"/>
              </a:solidFill>
            </a:rPr>
            <a:t>の対象預金の残高の合計が、</a:t>
          </a:r>
          <a:r>
            <a:rPr lang="ja-JP" altLang="en-US" sz="1600" b="1">
              <a:solidFill>
                <a:sysClr val="windowText" lastClr="000000"/>
              </a:solidFill>
            </a:rPr>
            <a:t>＜付利対象残高</a:t>
          </a:r>
          <a:r>
            <a:rPr lang="en-US" altLang="ja-JP" sz="1600" b="1">
              <a:solidFill>
                <a:srgbClr val="FF0000"/>
              </a:solidFill>
            </a:rPr>
            <a:t>A</a:t>
          </a:r>
          <a:r>
            <a:rPr lang="ja-JP" altLang="en-US" sz="1600" b="1">
              <a:solidFill>
                <a:sysClr val="windowText" lastClr="000000"/>
              </a:solidFill>
            </a:rPr>
            <a:t>（積数ベース）＞の</a:t>
          </a:r>
          <a:r>
            <a:rPr lang="en-US" altLang="ja-JP" sz="1600" b="1">
              <a:solidFill>
                <a:srgbClr val="FF0000"/>
              </a:solidFill>
            </a:rPr>
            <a:t>【ⅰ】</a:t>
          </a:r>
          <a:r>
            <a:rPr lang="ja-JP" altLang="en-US" sz="1600">
              <a:solidFill>
                <a:sysClr val="windowText" lastClr="000000"/>
              </a:solidFill>
            </a:rPr>
            <a:t>に表示されます。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8100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L41"/>
  <sheetViews>
    <sheetView tabSelected="1" view="pageBreakPreview" zoomScale="70" zoomScaleNormal="100" zoomScaleSheetLayoutView="70" workbookViewId="0">
      <selection activeCell="A42" sqref="A42"/>
    </sheetView>
  </sheetViews>
  <sheetFormatPr defaultColWidth="9.6640625" defaultRowHeight="14" x14ac:dyDescent="0.2"/>
  <cols>
    <col min="1" max="16384" width="9.6640625" style="24"/>
  </cols>
  <sheetData>
    <row r="1" spans="1:12" ht="15.5" x14ac:dyDescent="0.2">
      <c r="A1" s="106"/>
      <c r="B1" s="106"/>
      <c r="C1" s="106"/>
      <c r="D1" s="106"/>
      <c r="E1" s="106"/>
      <c r="F1" s="106"/>
      <c r="G1" s="106"/>
      <c r="H1" s="106"/>
      <c r="I1" s="112"/>
      <c r="J1" s="112"/>
      <c r="K1" s="180"/>
      <c r="L1" s="180"/>
    </row>
    <row r="2" spans="1:12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80"/>
      <c r="L2" s="180"/>
    </row>
    <row r="3" spans="1:12" ht="30" customHeight="1" x14ac:dyDescent="0.2">
      <c r="A3" s="179" t="s">
        <v>10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4.5" thickBo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7.25" customHeight="1" x14ac:dyDescent="0.2">
      <c r="A5" s="170" t="s">
        <v>119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7.25" customHeight="1" x14ac:dyDescent="0.2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1:12" ht="17.25" customHeight="1" x14ac:dyDescent="0.2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1:12" ht="17.25" customHeight="1" x14ac:dyDescent="0.2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5"/>
    </row>
    <row r="9" spans="1:12" ht="17.25" customHeight="1" x14ac:dyDescent="0.2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7.25" customHeight="1" x14ac:dyDescent="0.2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5"/>
    </row>
    <row r="11" spans="1:12" ht="17.25" customHeight="1" x14ac:dyDescent="0.2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5"/>
    </row>
    <row r="12" spans="1:12" ht="17.25" customHeight="1" x14ac:dyDescent="0.2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17.25" customHeight="1" x14ac:dyDescent="0.2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5"/>
    </row>
    <row r="14" spans="1:12" ht="17.25" customHeight="1" x14ac:dyDescent="0.2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5"/>
    </row>
    <row r="15" spans="1:12" ht="17.25" customHeight="1" x14ac:dyDescent="0.2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5"/>
    </row>
    <row r="16" spans="1:12" ht="17.25" customHeight="1" x14ac:dyDescent="0.2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ht="17.25" customHeight="1" x14ac:dyDescent="0.2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17.25" customHeight="1" x14ac:dyDescent="0.2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5"/>
    </row>
    <row r="19" spans="1:12" ht="17.25" customHeight="1" x14ac:dyDescent="0.2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</row>
    <row r="20" spans="1:12" ht="17.25" customHeight="1" x14ac:dyDescent="0.2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ht="17.25" customHeight="1" x14ac:dyDescent="0.2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  <row r="22" spans="1:12" ht="17.25" customHeight="1" x14ac:dyDescent="0.2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7.25" customHeight="1" x14ac:dyDescent="0.2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5"/>
    </row>
    <row r="24" spans="1:12" ht="17.25" customHeight="1" x14ac:dyDescent="0.2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</row>
    <row r="25" spans="1:12" ht="17.25" customHeight="1" x14ac:dyDescent="0.2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/>
    </row>
    <row r="26" spans="1:12" ht="17.25" customHeight="1" x14ac:dyDescent="0.2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5"/>
    </row>
    <row r="27" spans="1:12" ht="17.25" customHeight="1" thickBot="1" x14ac:dyDescent="0.25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</row>
    <row r="28" spans="1:12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22.75" customHeight="1" x14ac:dyDescent="0.2">
      <c r="A29" s="115" t="s">
        <v>79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27.75" customHeight="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ht="27.75" customHeight="1" x14ac:dyDescent="0.2">
      <c r="A31" s="108"/>
      <c r="B31" s="113"/>
      <c r="C31" s="113"/>
      <c r="D31" s="113"/>
      <c r="E31" s="113"/>
      <c r="F31" s="113"/>
      <c r="G31" s="113"/>
      <c r="H31" s="113"/>
      <c r="I31" s="113"/>
      <c r="J31" s="105"/>
      <c r="K31" s="106"/>
      <c r="L31" s="106"/>
    </row>
    <row r="32" spans="1:12" ht="27.75" customHeight="1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6"/>
      <c r="L32" s="106"/>
    </row>
    <row r="33" spans="1:12" ht="27.75" customHeight="1" x14ac:dyDescent="0.2">
      <c r="A33" s="106"/>
      <c r="B33" s="105"/>
      <c r="C33" s="105"/>
      <c r="D33" s="105"/>
      <c r="E33" s="105"/>
      <c r="F33" s="105"/>
      <c r="G33" s="105"/>
      <c r="H33" s="105"/>
      <c r="I33" s="105"/>
      <c r="J33" s="105"/>
      <c r="K33" s="106"/>
      <c r="L33" s="106"/>
    </row>
    <row r="34" spans="1:12" ht="27.75" customHeight="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6"/>
      <c r="L34" s="106"/>
    </row>
    <row r="35" spans="1:12" s="104" customFormat="1" ht="27.75" customHeight="1" x14ac:dyDescent="0.2">
      <c r="A35" s="108"/>
      <c r="B35" s="114"/>
      <c r="C35" s="114"/>
      <c r="D35" s="114"/>
      <c r="E35" s="114"/>
      <c r="F35" s="114"/>
      <c r="G35" s="114"/>
      <c r="H35" s="114"/>
      <c r="I35" s="114"/>
      <c r="J35" s="105"/>
      <c r="K35" s="106"/>
      <c r="L35" s="106"/>
    </row>
    <row r="36" spans="1:12" ht="27.75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2" ht="27.7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t="27.75" customHeight="1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2" ht="16.5" x14ac:dyDescent="0.2">
      <c r="A39" s="110" t="s">
        <v>13</v>
      </c>
      <c r="B39" s="110"/>
      <c r="C39" s="110"/>
      <c r="D39" s="111"/>
      <c r="E39" s="111"/>
      <c r="F39" s="111"/>
      <c r="G39" s="111"/>
      <c r="H39" s="106"/>
      <c r="I39" s="106"/>
      <c r="J39" s="106"/>
      <c r="K39" s="106"/>
      <c r="L39" s="106"/>
    </row>
    <row r="40" spans="1:12" ht="16.5" x14ac:dyDescent="0.2">
      <c r="A40" s="110" t="s">
        <v>11</v>
      </c>
      <c r="B40" s="110"/>
      <c r="C40" s="110"/>
      <c r="D40" s="111"/>
      <c r="E40" s="111"/>
      <c r="F40" s="111"/>
      <c r="G40" s="111"/>
      <c r="H40" s="106"/>
      <c r="I40" s="106"/>
      <c r="J40" s="106"/>
      <c r="K40" s="106"/>
      <c r="L40" s="106"/>
    </row>
    <row r="41" spans="1:12" ht="16.5" x14ac:dyDescent="0.2">
      <c r="A41" s="110" t="s">
        <v>120</v>
      </c>
      <c r="B41" s="110"/>
      <c r="C41" s="110"/>
      <c r="D41" s="111"/>
      <c r="E41" s="111"/>
      <c r="F41" s="111"/>
      <c r="G41" s="111"/>
      <c r="H41" s="106"/>
      <c r="I41" s="106"/>
      <c r="J41" s="106"/>
      <c r="K41" s="106"/>
      <c r="L41" s="106"/>
    </row>
  </sheetData>
  <sheetProtection algorithmName="SHA-512" hashValue="zBeUM4XjTMvZOENpPs6IHFRgD40astv4A/IwqOTVjCM1qACzUNQXp4LyadtVVSrOaUJdaatqLb08FV3OwoeL9Q==" saltValue="O1ioOZGB4Jl/fXcCTefJwA==" spinCount="100000" sheet="1" selectLockedCells="1" selectUnlockedCells="1"/>
  <mergeCells count="3">
    <mergeCell ref="A5:L27"/>
    <mergeCell ref="A3:L3"/>
    <mergeCell ref="K1:L2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Y59"/>
  <sheetViews>
    <sheetView view="pageBreakPreview" zoomScale="40" zoomScaleNormal="90" zoomScaleSheetLayoutView="40" workbookViewId="0">
      <selection sqref="A1:AB1"/>
    </sheetView>
  </sheetViews>
  <sheetFormatPr defaultColWidth="9" defaultRowHeight="21.9" customHeight="1" x14ac:dyDescent="0.2"/>
  <cols>
    <col min="1" max="1" width="1.4140625" style="1" customWidth="1"/>
    <col min="2" max="2" width="8" style="1" customWidth="1"/>
    <col min="3" max="3" width="23.4140625" style="1" customWidth="1"/>
    <col min="4" max="4" width="23.6640625" style="1" customWidth="1"/>
    <col min="5" max="5" width="23.6640625" style="1" hidden="1" customWidth="1"/>
    <col min="6" max="6" width="23.6640625" style="1" customWidth="1"/>
    <col min="7" max="8" width="17.6640625" style="1" hidden="1" customWidth="1"/>
    <col min="9" max="9" width="23.6640625" style="1" customWidth="1"/>
    <col min="10" max="10" width="17.33203125" style="1" hidden="1" customWidth="1"/>
    <col min="11" max="11" width="17.6640625" style="1" hidden="1" customWidth="1"/>
    <col min="12" max="12" width="23.6640625" style="1" customWidth="1"/>
    <col min="13" max="14" width="17.33203125" style="1" hidden="1" customWidth="1"/>
    <col min="15" max="15" width="3.6640625" style="4" customWidth="1"/>
    <col min="16" max="16" width="23.6640625" style="1" customWidth="1"/>
    <col min="17" max="17" width="3.6640625" style="4" customWidth="1"/>
    <col min="18" max="19" width="25.4140625" style="1" customWidth="1"/>
    <col min="20" max="21" width="23.6640625" style="1" customWidth="1"/>
    <col min="22" max="22" width="4.08203125" style="1" customWidth="1"/>
    <col min="23" max="23" width="3.25" style="1" customWidth="1"/>
    <col min="24" max="24" width="2" style="1" customWidth="1"/>
    <col min="25" max="25" width="13.25" style="1" customWidth="1"/>
    <col min="26" max="26" width="30.33203125" style="1" customWidth="1"/>
    <col min="27" max="27" width="27.9140625" style="1" customWidth="1"/>
    <col min="28" max="28" width="3.25" style="9" customWidth="1"/>
    <col min="29" max="29" width="16.9140625" style="4" hidden="1" customWidth="1"/>
    <col min="30" max="30" width="30.08203125" style="1" hidden="1" customWidth="1"/>
    <col min="31" max="31" width="4.4140625" style="9" customWidth="1"/>
    <col min="32" max="32" width="3.25" style="9" customWidth="1"/>
    <col min="33" max="33" width="2" style="1" customWidth="1"/>
    <col min="34" max="34" width="13.25" style="1" customWidth="1"/>
    <col min="35" max="35" width="30.33203125" style="1" customWidth="1"/>
    <col min="36" max="36" width="27.9140625" style="1" customWidth="1"/>
    <col min="37" max="37" width="3.25" style="1" customWidth="1"/>
    <col min="38" max="38" width="16.9140625" style="1" hidden="1" customWidth="1"/>
    <col min="39" max="39" width="30.08203125" style="1" hidden="1" customWidth="1"/>
    <col min="40" max="40" width="9.08203125" style="9" hidden="1" customWidth="1"/>
    <col min="41" max="41" width="16.9140625" style="9" hidden="1" customWidth="1"/>
    <col min="42" max="42" width="30.08203125" style="1" hidden="1" customWidth="1"/>
    <col min="43" max="43" width="10.6640625" style="1" hidden="1" customWidth="1"/>
    <col min="44" max="44" width="4.75" customWidth="1"/>
    <col min="52" max="16384" width="9" style="1"/>
  </cols>
  <sheetData>
    <row r="1" spans="1:41" s="30" customFormat="1" ht="60" customHeight="1" x14ac:dyDescent="0.2">
      <c r="A1" s="227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146"/>
      <c r="AE1" s="119"/>
      <c r="AF1" s="119"/>
      <c r="AN1" s="119"/>
      <c r="AO1" s="119"/>
    </row>
    <row r="2" spans="1:41" s="30" customFormat="1" ht="33" thickBot="1" x14ac:dyDescent="0.25">
      <c r="A2" s="34"/>
      <c r="B2" s="61" t="s">
        <v>83</v>
      </c>
      <c r="C2" s="58"/>
      <c r="D2" s="36"/>
      <c r="E2" s="36"/>
      <c r="F2" s="36"/>
      <c r="G2" s="34"/>
      <c r="H2" s="34"/>
      <c r="I2" s="62" t="s">
        <v>84</v>
      </c>
      <c r="J2" s="37"/>
      <c r="K2" s="37"/>
      <c r="L2" s="37"/>
      <c r="M2" s="37"/>
      <c r="N2" s="37"/>
      <c r="O2" s="37"/>
      <c r="P2" s="37"/>
      <c r="Q2" s="37"/>
      <c r="R2" s="63" t="s">
        <v>87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147"/>
      <c r="AD2" s="119"/>
      <c r="AE2" s="120"/>
      <c r="AF2" s="120"/>
      <c r="AN2" s="120"/>
      <c r="AO2" s="120"/>
    </row>
    <row r="3" spans="1:41" ht="20.5" thickBot="1" x14ac:dyDescent="0.25">
      <c r="B3" s="60" t="s">
        <v>14</v>
      </c>
      <c r="D3" s="156">
        <v>31</v>
      </c>
      <c r="E3" s="31" t="s">
        <v>0</v>
      </c>
      <c r="F3" s="31" t="s">
        <v>0</v>
      </c>
      <c r="I3" s="60" t="s">
        <v>85</v>
      </c>
      <c r="J3" s="99"/>
      <c r="K3" s="99"/>
      <c r="O3" s="56"/>
      <c r="P3" s="160">
        <v>237173519873</v>
      </c>
      <c r="Q3" s="32" t="s">
        <v>6</v>
      </c>
      <c r="R3" s="65" t="s">
        <v>54</v>
      </c>
      <c r="S3" s="35"/>
      <c r="T3" s="38"/>
      <c r="V3" s="67" t="s">
        <v>71</v>
      </c>
      <c r="W3" s="67"/>
      <c r="X3" s="67"/>
      <c r="Y3" s="67"/>
      <c r="Z3" s="67"/>
      <c r="AD3" s="8"/>
    </row>
    <row r="4" spans="1:41" ht="20.5" thickBot="1" x14ac:dyDescent="0.25">
      <c r="B4" s="60" t="s">
        <v>15</v>
      </c>
      <c r="D4" s="157">
        <v>84394854</v>
      </c>
      <c r="E4" s="31" t="s">
        <v>6</v>
      </c>
      <c r="F4" s="31" t="s">
        <v>6</v>
      </c>
      <c r="I4" s="59" t="s">
        <v>86</v>
      </c>
      <c r="J4" s="99"/>
      <c r="K4" s="99"/>
      <c r="O4" s="56"/>
      <c r="P4" s="161">
        <v>100000000</v>
      </c>
      <c r="Q4" s="32" t="s">
        <v>6</v>
      </c>
      <c r="R4" s="66" t="s">
        <v>88</v>
      </c>
      <c r="S4" s="41"/>
      <c r="T4" s="162"/>
      <c r="U4" s="33" t="s">
        <v>6</v>
      </c>
      <c r="V4" s="66" t="s">
        <v>93</v>
      </c>
      <c r="W4" s="67"/>
      <c r="X4" s="67"/>
      <c r="Y4" s="67"/>
      <c r="Z4" s="67"/>
      <c r="AA4" s="165"/>
      <c r="AB4" s="33"/>
      <c r="AC4" s="32"/>
      <c r="AD4" s="4"/>
      <c r="AE4" s="1"/>
      <c r="AF4" s="1"/>
      <c r="AN4" s="1"/>
      <c r="AO4" s="1"/>
    </row>
    <row r="5" spans="1:41" ht="20.5" thickBot="1" x14ac:dyDescent="0.25">
      <c r="B5" s="60" t="s">
        <v>16</v>
      </c>
      <c r="D5" s="158">
        <v>30.5</v>
      </c>
      <c r="E5" s="31" t="s">
        <v>1</v>
      </c>
      <c r="F5" s="31" t="s">
        <v>1</v>
      </c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72</v>
      </c>
      <c r="W5" s="9"/>
      <c r="X5" s="9"/>
      <c r="Y5" s="9"/>
      <c r="Z5" s="9"/>
      <c r="AA5" s="9"/>
      <c r="AD5" s="4"/>
      <c r="AE5" s="1"/>
      <c r="AF5" s="1"/>
      <c r="AN5" s="1"/>
      <c r="AO5" s="1"/>
    </row>
    <row r="6" spans="1:41" ht="20.5" thickBot="1" x14ac:dyDescent="0.25">
      <c r="B6" s="64" t="s">
        <v>17</v>
      </c>
      <c r="D6" s="159">
        <v>100</v>
      </c>
      <c r="E6" s="31" t="s">
        <v>1</v>
      </c>
      <c r="F6" s="31" t="s">
        <v>1</v>
      </c>
      <c r="G6" s="26"/>
      <c r="H6" s="26"/>
      <c r="I6" s="27"/>
      <c r="J6" s="26"/>
      <c r="K6" s="26"/>
      <c r="L6" s="28"/>
      <c r="M6" s="26"/>
      <c r="N6" s="26"/>
      <c r="O6" s="11"/>
      <c r="R6" s="66" t="s">
        <v>89</v>
      </c>
      <c r="S6" s="41"/>
      <c r="T6" s="162"/>
      <c r="U6" s="33" t="s">
        <v>6</v>
      </c>
      <c r="V6" s="66" t="s">
        <v>94</v>
      </c>
      <c r="W6" s="67"/>
      <c r="X6" s="67"/>
      <c r="Y6" s="67"/>
      <c r="Z6" s="67"/>
      <c r="AA6" s="162"/>
      <c r="AB6" s="33" t="s">
        <v>6</v>
      </c>
      <c r="AC6" s="32"/>
      <c r="AD6" s="4"/>
      <c r="AE6" s="1"/>
      <c r="AF6" s="1"/>
      <c r="AN6" s="1"/>
      <c r="AO6" s="1"/>
    </row>
    <row r="7" spans="1:41" s="9" customFormat="1" ht="29.25" customHeight="1" thickBot="1" x14ac:dyDescent="0.25">
      <c r="B7" s="64"/>
      <c r="D7" s="155"/>
      <c r="E7" s="55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  <c r="AC7" s="4"/>
    </row>
    <row r="8" spans="1:41" s="9" customFormat="1" ht="29.25" customHeight="1" x14ac:dyDescent="0.2">
      <c r="B8" s="64"/>
      <c r="D8" s="155"/>
      <c r="E8" s="55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90</v>
      </c>
      <c r="S8" s="67"/>
      <c r="T8" s="163"/>
      <c r="U8" s="33" t="s">
        <v>6</v>
      </c>
      <c r="AC8" s="4"/>
    </row>
    <row r="9" spans="1:41" s="9" customFormat="1" ht="29.15" customHeight="1" thickBot="1" x14ac:dyDescent="0.25">
      <c r="B9" s="64"/>
      <c r="D9" s="155"/>
      <c r="E9" s="55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91</v>
      </c>
      <c r="S9" s="67"/>
      <c r="T9" s="164"/>
      <c r="U9" s="33" t="s">
        <v>12</v>
      </c>
      <c r="AC9" s="4"/>
    </row>
    <row r="10" spans="1:41" s="9" customFormat="1" ht="0.75" customHeight="1" x14ac:dyDescent="0.2">
      <c r="B10" s="64"/>
      <c r="D10" s="155"/>
      <c r="E10" s="55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87"/>
      <c r="U10" s="33"/>
      <c r="AC10" s="4"/>
    </row>
    <row r="11" spans="1:41" s="9" customFormat="1" ht="29.25" customHeight="1" thickBot="1" x14ac:dyDescent="0.25">
      <c r="B11" s="64"/>
      <c r="D11" s="155"/>
      <c r="E11" s="55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X11" s="219" t="s">
        <v>95</v>
      </c>
      <c r="Y11" s="219"/>
      <c r="Z11" s="219"/>
      <c r="AA11" s="219"/>
      <c r="AB11" s="148"/>
      <c r="AG11" s="219" t="s">
        <v>96</v>
      </c>
      <c r="AH11" s="220"/>
      <c r="AI11" s="220"/>
      <c r="AJ11" s="220"/>
    </row>
    <row r="12" spans="1:41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228" t="s">
        <v>97</v>
      </c>
      <c r="Y12" s="228"/>
      <c r="Z12" s="228"/>
      <c r="AA12" s="228"/>
      <c r="AB12" s="45"/>
      <c r="AD12" s="4"/>
      <c r="AE12" s="1"/>
      <c r="AF12" s="44"/>
      <c r="AG12" s="186" t="s">
        <v>98</v>
      </c>
      <c r="AH12" s="186"/>
      <c r="AI12" s="186"/>
      <c r="AJ12" s="186"/>
      <c r="AK12" s="45"/>
      <c r="AL12" s="4"/>
      <c r="AM12" s="4"/>
      <c r="AN12" s="1"/>
      <c r="AO12" s="1"/>
    </row>
    <row r="13" spans="1:41" ht="29.25" customHeight="1" thickBot="1" x14ac:dyDescent="0.25">
      <c r="B13" s="230" t="s">
        <v>2</v>
      </c>
      <c r="C13" s="231" t="s">
        <v>70</v>
      </c>
      <c r="D13" s="234" t="s">
        <v>78</v>
      </c>
      <c r="E13" s="116" t="s">
        <v>80</v>
      </c>
      <c r="F13" s="234" t="s">
        <v>69</v>
      </c>
      <c r="G13" s="42"/>
      <c r="H13" s="43"/>
      <c r="I13" s="237" t="s">
        <v>68</v>
      </c>
      <c r="J13" s="42"/>
      <c r="K13" s="43"/>
      <c r="L13" s="240" t="s">
        <v>67</v>
      </c>
      <c r="M13" s="42"/>
      <c r="N13" s="43"/>
      <c r="O13" s="12"/>
      <c r="P13" s="240" t="s">
        <v>77</v>
      </c>
      <c r="Q13" s="6"/>
      <c r="R13" s="242" t="s">
        <v>76</v>
      </c>
      <c r="S13" s="243"/>
      <c r="T13" s="243"/>
      <c r="U13" s="244"/>
      <c r="W13" s="57"/>
      <c r="X13" s="229"/>
      <c r="Y13" s="229"/>
      <c r="Z13" s="229"/>
      <c r="AA13" s="229"/>
      <c r="AB13" s="47"/>
      <c r="AC13" s="9"/>
      <c r="AD13" s="9"/>
      <c r="AE13" s="121"/>
      <c r="AF13" s="57"/>
      <c r="AG13" s="187"/>
      <c r="AH13" s="187"/>
      <c r="AI13" s="187"/>
      <c r="AJ13" s="187"/>
      <c r="AK13" s="47"/>
      <c r="AL13" s="121"/>
      <c r="AM13" s="121"/>
      <c r="AN13" s="1"/>
      <c r="AO13" s="1"/>
    </row>
    <row r="14" spans="1:41" ht="29.25" customHeight="1" x14ac:dyDescent="0.2">
      <c r="B14" s="230"/>
      <c r="C14" s="232"/>
      <c r="D14" s="235"/>
      <c r="E14" s="245" t="s">
        <v>81</v>
      </c>
      <c r="F14" s="235"/>
      <c r="G14" s="247" t="s">
        <v>3</v>
      </c>
      <c r="H14" s="247" t="s">
        <v>9</v>
      </c>
      <c r="I14" s="238"/>
      <c r="J14" s="247" t="s">
        <v>4</v>
      </c>
      <c r="K14" s="247" t="s">
        <v>9</v>
      </c>
      <c r="L14" s="241"/>
      <c r="M14" s="225" t="s">
        <v>5</v>
      </c>
      <c r="N14" s="247" t="s">
        <v>9</v>
      </c>
      <c r="O14" s="10"/>
      <c r="P14" s="240"/>
      <c r="Q14" s="29"/>
      <c r="R14" s="249" t="s">
        <v>51</v>
      </c>
      <c r="S14" s="251" t="s">
        <v>92</v>
      </c>
      <c r="T14" s="251" t="s">
        <v>55</v>
      </c>
      <c r="U14" s="251" t="s">
        <v>75</v>
      </c>
      <c r="W14" s="46"/>
      <c r="X14" s="221" t="s">
        <v>66</v>
      </c>
      <c r="Y14" s="222"/>
      <c r="Z14" s="222"/>
      <c r="AA14" s="215">
        <f>SUM(C16:C20)</f>
        <v>47670023560</v>
      </c>
      <c r="AB14" s="47"/>
      <c r="AC14" s="121"/>
      <c r="AD14" s="121"/>
      <c r="AE14" s="121"/>
      <c r="AF14" s="46"/>
      <c r="AG14" s="221" t="s">
        <v>66</v>
      </c>
      <c r="AH14" s="222"/>
      <c r="AI14" s="222"/>
      <c r="AJ14" s="215">
        <f>SUM(C21:C46)</f>
        <v>257284122519</v>
      </c>
      <c r="AK14" s="47"/>
      <c r="AL14" s="121"/>
      <c r="AM14" s="121"/>
      <c r="AN14" s="1"/>
      <c r="AO14" s="1"/>
    </row>
    <row r="15" spans="1:41" ht="30" customHeight="1" thickBot="1" x14ac:dyDescent="0.25">
      <c r="B15" s="230"/>
      <c r="C15" s="233"/>
      <c r="D15" s="236"/>
      <c r="E15" s="246"/>
      <c r="F15" s="236"/>
      <c r="G15" s="248"/>
      <c r="H15" s="248"/>
      <c r="I15" s="239"/>
      <c r="J15" s="248"/>
      <c r="K15" s="248"/>
      <c r="L15" s="241"/>
      <c r="M15" s="226"/>
      <c r="N15" s="248"/>
      <c r="O15" s="10"/>
      <c r="P15" s="240"/>
      <c r="Q15" s="29"/>
      <c r="R15" s="250"/>
      <c r="S15" s="252"/>
      <c r="T15" s="253"/>
      <c r="U15" s="253"/>
      <c r="W15" s="46"/>
      <c r="X15" s="223"/>
      <c r="Y15" s="224"/>
      <c r="Z15" s="224"/>
      <c r="AA15" s="216"/>
      <c r="AB15" s="47"/>
      <c r="AC15" s="123" t="s">
        <v>99</v>
      </c>
      <c r="AD15" s="123" t="s">
        <v>100</v>
      </c>
      <c r="AE15" s="121"/>
      <c r="AF15" s="46"/>
      <c r="AG15" s="223"/>
      <c r="AH15" s="224"/>
      <c r="AI15" s="224"/>
      <c r="AJ15" s="216"/>
      <c r="AK15" s="47"/>
      <c r="AL15" s="122" t="s">
        <v>99</v>
      </c>
      <c r="AM15" s="123" t="s">
        <v>100</v>
      </c>
      <c r="AN15" s="1"/>
      <c r="AO15" s="1"/>
    </row>
    <row r="16" spans="1:41" ht="30.75" customHeight="1" x14ac:dyDescent="0.2">
      <c r="B16" s="141" t="s">
        <v>19</v>
      </c>
      <c r="C16" s="166">
        <v>7934004712</v>
      </c>
      <c r="D16" s="166">
        <v>400000000</v>
      </c>
      <c r="E16" s="80"/>
      <c r="F16" s="83">
        <f>IF(C16="","",$D$4)</f>
        <v>84394854</v>
      </c>
      <c r="G16" s="94">
        <f>MIN(C16,$D$4)</f>
        <v>84394854</v>
      </c>
      <c r="H16" s="94">
        <f>F16-G16</f>
        <v>0</v>
      </c>
      <c r="I16" s="84">
        <f>IF(C16="","",MAX(ROUNDDOWN($P$3/365,0)-$D$4,0))</f>
        <v>565395611</v>
      </c>
      <c r="J16" s="94">
        <f>MAX(MIN(C16-G16,ROUNDDOWN($P$3/365,0)-G16),0)</f>
        <v>565395611</v>
      </c>
      <c r="K16" s="94">
        <f>I16-J16</f>
        <v>0</v>
      </c>
      <c r="L16" s="84">
        <f>IF(C16="","",R16+D16+S16+T16-U16)</f>
        <v>898186091</v>
      </c>
      <c r="M16" s="102">
        <f>MAX(MIN(C16-G16-J16,R16+D16+S16+T16-U16),0)</f>
        <v>898186091</v>
      </c>
      <c r="N16" s="102">
        <f>L16-M16</f>
        <v>0</v>
      </c>
      <c r="O16" s="14"/>
      <c r="P16" s="91">
        <f>IF(C16="","",MAX(C16-(F16+I16+L16),0))</f>
        <v>6386028156</v>
      </c>
      <c r="Q16" s="15"/>
      <c r="R16" s="86">
        <f>IF(C16="","",ROUNDDOWN(ROUNDDOWN($P$3/365,0)*$D$5/100,0)+IFERROR(ROUNDDOWN(ROUNDDOWN(T$8/T$9,0)*$D$5/100,0),0))</f>
        <v>198186091</v>
      </c>
      <c r="S16" s="86">
        <f>IF(C16="","",ROUNDDOWN((MAX(D16-E16-$P$4,0)*$D$6/100),0))</f>
        <v>300000000</v>
      </c>
      <c r="T16" s="84">
        <f>IF(C16="","",ROUNDDOWN($T$4/$D$3,0)+$T$6)</f>
        <v>0</v>
      </c>
      <c r="U16" s="91">
        <f>IF(C16="","",IF($AA$4="○",ROUNDDOWN((R16+D16+S16+T16)*25/100,0)+ROUNDDOWN(AA$6/$D$3,0),ROUNDDOWN(AA$6/$D$3,0)))</f>
        <v>0</v>
      </c>
      <c r="V16" s="2"/>
      <c r="W16" s="46"/>
      <c r="X16" s="70"/>
      <c r="Y16" s="211" t="s">
        <v>73</v>
      </c>
      <c r="Z16" s="212"/>
      <c r="AA16" s="215">
        <f>MIN($G$48,$AA$14)</f>
        <v>2616240474</v>
      </c>
      <c r="AB16" s="47"/>
      <c r="AC16" s="209">
        <v>0</v>
      </c>
      <c r="AD16" s="190">
        <f>ROUNDDOWN(AA16*AC16/36500,0)</f>
        <v>0</v>
      </c>
      <c r="AE16" s="121"/>
      <c r="AF16" s="46"/>
      <c r="AG16" s="70"/>
      <c r="AH16" s="211" t="s">
        <v>104</v>
      </c>
      <c r="AI16" s="212"/>
      <c r="AJ16" s="215">
        <f>IF(AI31=0,0,MIN(AI31,AJ14))</f>
        <v>0</v>
      </c>
      <c r="AK16" s="47"/>
      <c r="AL16" s="217">
        <v>0</v>
      </c>
      <c r="AM16" s="195">
        <f t="shared" ref="AM16" si="0">ROUNDDOWN(AJ16*AL16/36500,0)</f>
        <v>0</v>
      </c>
      <c r="AN16" s="1"/>
      <c r="AO16" s="1"/>
    </row>
    <row r="17" spans="2:43" ht="30.75" customHeight="1" thickBot="1" x14ac:dyDescent="0.25">
      <c r="B17" s="141" t="s">
        <v>20</v>
      </c>
      <c r="C17" s="157">
        <v>9934004712</v>
      </c>
      <c r="D17" s="157">
        <v>400000000</v>
      </c>
      <c r="E17" s="78"/>
      <c r="F17" s="83">
        <f>IF(C17="","",$D$4)</f>
        <v>84394854</v>
      </c>
      <c r="G17" s="94">
        <f>MIN(C17,$D$4)</f>
        <v>84394854</v>
      </c>
      <c r="H17" s="94">
        <f>F17-G17</f>
        <v>0</v>
      </c>
      <c r="I17" s="84">
        <f>IF(C17="","",MAX(ROUNDDOWN($P$3/365,0)-$D$4,0))</f>
        <v>565395611</v>
      </c>
      <c r="J17" s="94">
        <f>MAX(MIN(C17-G17,ROUNDDOWN($P$3/365,0)-G17),0)</f>
        <v>565395611</v>
      </c>
      <c r="K17" s="94">
        <f>I17-J17</f>
        <v>0</v>
      </c>
      <c r="L17" s="84">
        <f>IF(C17="","",R17+D17+S17+T17-U17)</f>
        <v>898186091</v>
      </c>
      <c r="M17" s="102">
        <f>MAX(MIN(C17-G17-J17,R17+D17+S17+T17-U17),0)</f>
        <v>898186091</v>
      </c>
      <c r="N17" s="102">
        <f t="shared" ref="N17:N46" si="1">L17-M17</f>
        <v>0</v>
      </c>
      <c r="O17" s="14"/>
      <c r="P17" s="91">
        <f>IF(C17="","",MAX(C17-(F17+I17+L17),0))</f>
        <v>8386028156</v>
      </c>
      <c r="Q17" s="15"/>
      <c r="R17" s="86">
        <f>IF(C17="","",ROUNDDOWN(ROUNDDOWN($P$3/365,0)*$D$5/100,0)+IFERROR(ROUNDDOWN(ROUNDDOWN(T$8/T$9,0)*$D$5/100,0),0))</f>
        <v>198186091</v>
      </c>
      <c r="S17" s="86">
        <f t="shared" ref="S17:S46" si="2">IF(C17="","",ROUNDDOWN((MAX(D17-E17-$P$4,0)*$D$6/100),0))</f>
        <v>300000000</v>
      </c>
      <c r="T17" s="84">
        <f>IF(C17="","",ROUNDDOWN($T$4/$D$3,0)+$T$6)</f>
        <v>0</v>
      </c>
      <c r="U17" s="91">
        <f t="shared" ref="U17:U46" si="3">IF(C17="","",IF($AA$4="○",ROUNDDOWN((R17+D17+S17+T17)*25/100,0)+ROUNDDOWN(AA$6/$D$3,0),ROUNDDOWN(AA$6/$D$3,0)))</f>
        <v>0</v>
      </c>
      <c r="V17" s="2"/>
      <c r="W17" s="46"/>
      <c r="X17" s="70"/>
      <c r="Y17" s="213"/>
      <c r="Z17" s="214"/>
      <c r="AA17" s="216"/>
      <c r="AB17" s="47"/>
      <c r="AC17" s="210"/>
      <c r="AD17" s="190"/>
      <c r="AE17" s="121"/>
      <c r="AF17" s="46"/>
      <c r="AG17" s="70"/>
      <c r="AH17" s="213"/>
      <c r="AI17" s="214"/>
      <c r="AJ17" s="216"/>
      <c r="AK17" s="47"/>
      <c r="AL17" s="218"/>
      <c r="AM17" s="189"/>
      <c r="AN17" s="1"/>
      <c r="AO17" s="1"/>
    </row>
    <row r="18" spans="2:43" ht="30.75" customHeight="1" x14ac:dyDescent="0.2">
      <c r="B18" s="141" t="s">
        <v>21</v>
      </c>
      <c r="C18" s="157">
        <v>9934004712</v>
      </c>
      <c r="D18" s="157">
        <v>400000000</v>
      </c>
      <c r="E18" s="78"/>
      <c r="F18" s="83">
        <f t="shared" ref="F18:F27" si="4">IF(C18="","",$D$4)</f>
        <v>84394854</v>
      </c>
      <c r="G18" s="94">
        <f t="shared" ref="G18:G28" si="5">MIN(C18,$D$4)</f>
        <v>84394854</v>
      </c>
      <c r="H18" s="94">
        <f t="shared" ref="H18:H46" si="6">F18-G18</f>
        <v>0</v>
      </c>
      <c r="I18" s="84">
        <f t="shared" ref="I18:I28" si="7">IF(C18="","",MAX(ROUNDDOWN($P$3/365,0)-$D$4,0))</f>
        <v>565395611</v>
      </c>
      <c r="J18" s="94">
        <f t="shared" ref="J18:J28" si="8">MAX(MIN(C18-G18,ROUNDDOWN($P$3/365,0)-G18),0)</f>
        <v>565395611</v>
      </c>
      <c r="K18" s="94">
        <f t="shared" ref="K18:K46" si="9">I18-J18</f>
        <v>0</v>
      </c>
      <c r="L18" s="84">
        <f t="shared" ref="L18:L28" si="10">IF(C18="","",R18+D18+S18+T18-U18)</f>
        <v>898186091</v>
      </c>
      <c r="M18" s="102">
        <f>MAX(MIN(C18-G18-J18,R18+D18+S18+T18-U18),0)</f>
        <v>898186091</v>
      </c>
      <c r="N18" s="102">
        <f t="shared" si="1"/>
        <v>0</v>
      </c>
      <c r="O18" s="14"/>
      <c r="P18" s="91">
        <f t="shared" ref="P18:P28" si="11">IF(C18="","",MAX(C18-(F18+I18+L18),0))</f>
        <v>8386028156</v>
      </c>
      <c r="Q18" s="15"/>
      <c r="R18" s="86">
        <f t="shared" ref="R18:R28" si="12">IF(C18="","",ROUNDDOWN(ROUNDDOWN($P$3/365,0)*$D$5/100,0)+IFERROR(ROUNDDOWN(ROUNDDOWN(T$8/T$9,0)*$D$5/100,0),0))</f>
        <v>198186091</v>
      </c>
      <c r="S18" s="86">
        <f t="shared" si="2"/>
        <v>300000000</v>
      </c>
      <c r="T18" s="84">
        <f t="shared" ref="T18:T28" si="13">IF(C18="","",ROUNDDOWN($T$4/$D$3,0)+$T$6)</f>
        <v>0</v>
      </c>
      <c r="U18" s="91">
        <f t="shared" si="3"/>
        <v>0</v>
      </c>
      <c r="V18" s="2"/>
      <c r="W18" s="46"/>
      <c r="X18" s="70"/>
      <c r="Y18" s="211" t="s">
        <v>58</v>
      </c>
      <c r="Z18" s="212"/>
      <c r="AA18" s="215">
        <f>MAX(MIN(Z34,AA14-AA16),0)</f>
        <v>17527263953</v>
      </c>
      <c r="AB18" s="47"/>
      <c r="AC18" s="209">
        <v>0.1</v>
      </c>
      <c r="AD18" s="190">
        <f t="shared" ref="AD18" si="14">ROUNDDOWN(AA18*AC18/36500,0)</f>
        <v>48019</v>
      </c>
      <c r="AE18" s="121"/>
      <c r="AF18" s="46"/>
      <c r="AG18" s="70"/>
      <c r="AH18" s="211" t="s">
        <v>105</v>
      </c>
      <c r="AI18" s="212"/>
      <c r="AJ18" s="215">
        <f>IF(AI34=0,0,MIN(AJ14-AJ16,AI34))</f>
        <v>0</v>
      </c>
      <c r="AK18" s="47"/>
      <c r="AL18" s="217">
        <v>0.1</v>
      </c>
      <c r="AM18" s="195">
        <f t="shared" ref="AM18" si="15">ROUNDDOWN(AJ18*AL18/36500,0)</f>
        <v>0</v>
      </c>
      <c r="AN18" s="1"/>
      <c r="AO18" s="1"/>
    </row>
    <row r="19" spans="2:43" ht="30.75" customHeight="1" thickBot="1" x14ac:dyDescent="0.25">
      <c r="B19" s="141" t="s">
        <v>22</v>
      </c>
      <c r="C19" s="157">
        <v>9934004712</v>
      </c>
      <c r="D19" s="157">
        <v>400000000</v>
      </c>
      <c r="E19" s="78"/>
      <c r="F19" s="83">
        <f t="shared" si="4"/>
        <v>84394854</v>
      </c>
      <c r="G19" s="94">
        <f t="shared" si="5"/>
        <v>84394854</v>
      </c>
      <c r="H19" s="94">
        <f t="shared" si="6"/>
        <v>0</v>
      </c>
      <c r="I19" s="84">
        <f t="shared" si="7"/>
        <v>565395611</v>
      </c>
      <c r="J19" s="94">
        <f t="shared" si="8"/>
        <v>565395611</v>
      </c>
      <c r="K19" s="94">
        <f t="shared" si="9"/>
        <v>0</v>
      </c>
      <c r="L19" s="84">
        <f t="shared" si="10"/>
        <v>898186091</v>
      </c>
      <c r="M19" s="102">
        <f>MAX(MIN(C19-G19-J19,R19+D19+S19+T19-U19),0)</f>
        <v>898186091</v>
      </c>
      <c r="N19" s="102">
        <f t="shared" si="1"/>
        <v>0</v>
      </c>
      <c r="O19" s="14"/>
      <c r="P19" s="91">
        <f t="shared" si="11"/>
        <v>8386028156</v>
      </c>
      <c r="Q19" s="15"/>
      <c r="R19" s="86">
        <f t="shared" si="12"/>
        <v>198186091</v>
      </c>
      <c r="S19" s="86">
        <f t="shared" si="2"/>
        <v>300000000</v>
      </c>
      <c r="T19" s="84">
        <f>IF(C19="","",ROUNDDOWN($T$4/$D$3,0)+$T$6)</f>
        <v>0</v>
      </c>
      <c r="U19" s="91">
        <f t="shared" si="3"/>
        <v>0</v>
      </c>
      <c r="V19" s="2"/>
      <c r="W19" s="46"/>
      <c r="X19" s="70"/>
      <c r="Y19" s="213"/>
      <c r="Z19" s="214"/>
      <c r="AA19" s="216"/>
      <c r="AB19" s="47"/>
      <c r="AC19" s="210"/>
      <c r="AD19" s="190"/>
      <c r="AE19" s="121"/>
      <c r="AF19" s="46"/>
      <c r="AG19" s="70"/>
      <c r="AH19" s="213"/>
      <c r="AI19" s="214"/>
      <c r="AJ19" s="216"/>
      <c r="AK19" s="47"/>
      <c r="AL19" s="218"/>
      <c r="AM19" s="189"/>
      <c r="AN19" s="1"/>
      <c r="AO19" s="1"/>
    </row>
    <row r="20" spans="2:43" ht="30.75" customHeight="1" thickBot="1" x14ac:dyDescent="0.25">
      <c r="B20" s="142" t="s">
        <v>23</v>
      </c>
      <c r="C20" s="167">
        <v>9934004712</v>
      </c>
      <c r="D20" s="167">
        <v>400000000</v>
      </c>
      <c r="E20" s="124"/>
      <c r="F20" s="138">
        <f t="shared" si="4"/>
        <v>84394854</v>
      </c>
      <c r="G20" s="125">
        <f>MIN(C20,$D$4)</f>
        <v>84394854</v>
      </c>
      <c r="H20" s="125">
        <f t="shared" si="6"/>
        <v>0</v>
      </c>
      <c r="I20" s="126">
        <f t="shared" si="7"/>
        <v>565395611</v>
      </c>
      <c r="J20" s="125">
        <f>MAX(MIN(C20-G20,ROUNDDOWN($P$3/365,0)-G20),0)</f>
        <v>565395611</v>
      </c>
      <c r="K20" s="125">
        <f t="shared" si="9"/>
        <v>0</v>
      </c>
      <c r="L20" s="126">
        <f t="shared" si="10"/>
        <v>898186091</v>
      </c>
      <c r="M20" s="127">
        <f t="shared" ref="M20:M28" si="16">MAX(MIN(C20-G20-J20,R20+D20+S20+T20-U20),0)</f>
        <v>898186091</v>
      </c>
      <c r="N20" s="127">
        <f t="shared" si="1"/>
        <v>0</v>
      </c>
      <c r="O20" s="139"/>
      <c r="P20" s="128">
        <f t="shared" si="11"/>
        <v>8386028156</v>
      </c>
      <c r="Q20" s="140"/>
      <c r="R20" s="129">
        <f t="shared" si="12"/>
        <v>198186091</v>
      </c>
      <c r="S20" s="129">
        <f t="shared" si="2"/>
        <v>300000000</v>
      </c>
      <c r="T20" s="126">
        <f t="shared" si="13"/>
        <v>0</v>
      </c>
      <c r="U20" s="128">
        <f t="shared" si="3"/>
        <v>0</v>
      </c>
      <c r="V20" s="2"/>
      <c r="W20" s="46"/>
      <c r="X20" s="70"/>
      <c r="Y20" s="211" t="s">
        <v>59</v>
      </c>
      <c r="Z20" s="212"/>
      <c r="AA20" s="215">
        <f>MAX(MIN(Z37,AA14-AA16-AA18),0)</f>
        <v>27526519133</v>
      </c>
      <c r="AB20" s="48"/>
      <c r="AC20" s="209">
        <v>0</v>
      </c>
      <c r="AD20" s="190">
        <f t="shared" ref="AD20" si="17">ROUNDDOWN(AA20*AC20/36500,0)</f>
        <v>0</v>
      </c>
      <c r="AE20" s="121"/>
      <c r="AF20" s="46"/>
      <c r="AG20" s="70"/>
      <c r="AH20" s="211" t="s">
        <v>114</v>
      </c>
      <c r="AI20" s="212"/>
      <c r="AJ20" s="215">
        <f>IF(AI37=0,0,MIN(AJ14-AJ16-AJ18,AI37))</f>
        <v>12717249717</v>
      </c>
      <c r="AK20" s="48"/>
      <c r="AL20" s="217">
        <v>0.1</v>
      </c>
      <c r="AM20" s="195">
        <f t="shared" ref="AM20" si="18">ROUNDDOWN(AJ20*AL20/36500,0)</f>
        <v>34841</v>
      </c>
      <c r="AN20" s="1"/>
      <c r="AO20" s="1"/>
    </row>
    <row r="21" spans="2:43" ht="30.75" customHeight="1" thickTop="1" thickBot="1" x14ac:dyDescent="0.25">
      <c r="B21" s="143" t="s">
        <v>24</v>
      </c>
      <c r="C21" s="168">
        <v>9454004712</v>
      </c>
      <c r="D21" s="168">
        <v>400000000</v>
      </c>
      <c r="E21" s="132"/>
      <c r="F21" s="83">
        <f>IF(C21="","",$D$4)</f>
        <v>84394854</v>
      </c>
      <c r="G21" s="133">
        <f t="shared" si="5"/>
        <v>84394854</v>
      </c>
      <c r="H21" s="133">
        <f t="shared" si="6"/>
        <v>0</v>
      </c>
      <c r="I21" s="134">
        <f t="shared" si="7"/>
        <v>565395611</v>
      </c>
      <c r="J21" s="133">
        <f t="shared" si="8"/>
        <v>565395611</v>
      </c>
      <c r="K21" s="133">
        <f t="shared" si="9"/>
        <v>0</v>
      </c>
      <c r="L21" s="134">
        <f t="shared" si="10"/>
        <v>898186091</v>
      </c>
      <c r="M21" s="135">
        <f t="shared" si="16"/>
        <v>898186091</v>
      </c>
      <c r="N21" s="135">
        <f t="shared" si="1"/>
        <v>0</v>
      </c>
      <c r="O21" s="14"/>
      <c r="P21" s="136">
        <f t="shared" si="11"/>
        <v>7906028156</v>
      </c>
      <c r="Q21" s="15"/>
      <c r="R21" s="137">
        <f t="shared" si="12"/>
        <v>198186091</v>
      </c>
      <c r="S21" s="137">
        <f t="shared" si="2"/>
        <v>300000000</v>
      </c>
      <c r="T21" s="134">
        <f t="shared" si="13"/>
        <v>0</v>
      </c>
      <c r="U21" s="136">
        <f t="shared" si="3"/>
        <v>0</v>
      </c>
      <c r="V21" s="2"/>
      <c r="W21" s="46"/>
      <c r="X21" s="70"/>
      <c r="Y21" s="213"/>
      <c r="Z21" s="214"/>
      <c r="AA21" s="216"/>
      <c r="AB21" s="48"/>
      <c r="AC21" s="210"/>
      <c r="AD21" s="190"/>
      <c r="AE21" s="121"/>
      <c r="AF21" s="46"/>
      <c r="AG21" s="70"/>
      <c r="AH21" s="213"/>
      <c r="AI21" s="214"/>
      <c r="AJ21" s="216"/>
      <c r="AK21" s="48"/>
      <c r="AL21" s="218"/>
      <c r="AM21" s="189"/>
      <c r="AN21" s="1"/>
      <c r="AO21" s="1"/>
    </row>
    <row r="22" spans="2:43" ht="30.75" customHeight="1" x14ac:dyDescent="0.2">
      <c r="B22" s="144" t="s">
        <v>25</v>
      </c>
      <c r="C22" s="157">
        <v>9454004712</v>
      </c>
      <c r="D22" s="157">
        <v>400000000</v>
      </c>
      <c r="E22" s="78"/>
      <c r="F22" s="83">
        <f t="shared" si="4"/>
        <v>84394854</v>
      </c>
      <c r="G22" s="94">
        <f t="shared" si="5"/>
        <v>84394854</v>
      </c>
      <c r="H22" s="94">
        <f t="shared" si="6"/>
        <v>0</v>
      </c>
      <c r="I22" s="84">
        <f t="shared" si="7"/>
        <v>565395611</v>
      </c>
      <c r="J22" s="94">
        <f t="shared" si="8"/>
        <v>565395611</v>
      </c>
      <c r="K22" s="94">
        <f t="shared" si="9"/>
        <v>0</v>
      </c>
      <c r="L22" s="84">
        <f t="shared" si="10"/>
        <v>898186091</v>
      </c>
      <c r="M22" s="102">
        <f t="shared" si="16"/>
        <v>898186091</v>
      </c>
      <c r="N22" s="102">
        <f t="shared" si="1"/>
        <v>0</v>
      </c>
      <c r="O22" s="14"/>
      <c r="P22" s="91">
        <f t="shared" si="11"/>
        <v>7906028156</v>
      </c>
      <c r="Q22" s="15"/>
      <c r="R22" s="86">
        <f t="shared" si="12"/>
        <v>198186091</v>
      </c>
      <c r="S22" s="86">
        <f t="shared" si="2"/>
        <v>300000000</v>
      </c>
      <c r="T22" s="84">
        <f t="shared" si="13"/>
        <v>0</v>
      </c>
      <c r="U22" s="91">
        <f t="shared" si="3"/>
        <v>0</v>
      </c>
      <c r="V22" s="2"/>
      <c r="W22" s="46"/>
      <c r="X22" s="71"/>
      <c r="Y22" s="200" t="s">
        <v>56</v>
      </c>
      <c r="Z22" s="201"/>
      <c r="AA22" s="254">
        <f>MAX(AA14-AA16-AA18-AA20,0)</f>
        <v>0</v>
      </c>
      <c r="AB22" s="48"/>
      <c r="AC22" s="196">
        <v>-0.1</v>
      </c>
      <c r="AD22" s="198">
        <f t="shared" ref="AD22" si="19">ROUNDDOWN(AA22*AC22/36500,0)</f>
        <v>0</v>
      </c>
      <c r="AE22" s="121"/>
      <c r="AF22" s="46"/>
      <c r="AG22" s="71"/>
      <c r="AH22" s="200" t="s">
        <v>56</v>
      </c>
      <c r="AI22" s="201"/>
      <c r="AJ22" s="204">
        <f>MAX(AJ14-AJ16-AJ18-AJ20,0)</f>
        <v>244566872802</v>
      </c>
      <c r="AK22" s="48"/>
      <c r="AL22" s="206">
        <v>0.1</v>
      </c>
      <c r="AM22" s="195">
        <f t="shared" ref="AM22" si="20">ROUNDDOWN(AJ22*AL22/36500,0)</f>
        <v>670046</v>
      </c>
      <c r="AN22" s="1"/>
      <c r="AO22" s="1"/>
    </row>
    <row r="23" spans="2:43" ht="30.75" customHeight="1" thickBot="1" x14ac:dyDescent="0.25">
      <c r="B23" s="144" t="s">
        <v>26</v>
      </c>
      <c r="C23" s="157">
        <v>9454004712</v>
      </c>
      <c r="D23" s="157">
        <v>400000000</v>
      </c>
      <c r="E23" s="78"/>
      <c r="F23" s="83">
        <f t="shared" si="4"/>
        <v>84394854</v>
      </c>
      <c r="G23" s="94">
        <f t="shared" si="5"/>
        <v>84394854</v>
      </c>
      <c r="H23" s="94">
        <f t="shared" si="6"/>
        <v>0</v>
      </c>
      <c r="I23" s="84">
        <f t="shared" si="7"/>
        <v>565395611</v>
      </c>
      <c r="J23" s="94">
        <f t="shared" si="8"/>
        <v>565395611</v>
      </c>
      <c r="K23" s="94">
        <f t="shared" si="9"/>
        <v>0</v>
      </c>
      <c r="L23" s="84">
        <f t="shared" si="10"/>
        <v>898186091</v>
      </c>
      <c r="M23" s="102">
        <f t="shared" si="16"/>
        <v>898186091</v>
      </c>
      <c r="N23" s="102">
        <f t="shared" si="1"/>
        <v>0</v>
      </c>
      <c r="O23" s="14"/>
      <c r="P23" s="91">
        <f t="shared" si="11"/>
        <v>7906028156</v>
      </c>
      <c r="Q23" s="15"/>
      <c r="R23" s="86">
        <f t="shared" si="12"/>
        <v>198186091</v>
      </c>
      <c r="S23" s="86">
        <f t="shared" si="2"/>
        <v>300000000</v>
      </c>
      <c r="T23" s="84">
        <f t="shared" si="13"/>
        <v>0</v>
      </c>
      <c r="U23" s="91">
        <f t="shared" si="3"/>
        <v>0</v>
      </c>
      <c r="V23" s="2"/>
      <c r="W23" s="49"/>
      <c r="X23" s="72"/>
      <c r="Y23" s="202"/>
      <c r="Z23" s="203"/>
      <c r="AA23" s="255"/>
      <c r="AB23" s="50"/>
      <c r="AC23" s="197"/>
      <c r="AD23" s="199"/>
      <c r="AE23" s="121"/>
      <c r="AF23" s="49"/>
      <c r="AG23" s="72"/>
      <c r="AH23" s="202"/>
      <c r="AI23" s="203"/>
      <c r="AJ23" s="205"/>
      <c r="AK23" s="50"/>
      <c r="AL23" s="207"/>
      <c r="AM23" s="208"/>
      <c r="AN23" s="1"/>
      <c r="AO23" s="1"/>
    </row>
    <row r="24" spans="2:43" ht="30.75" customHeight="1" thickTop="1" thickBot="1" x14ac:dyDescent="0.25">
      <c r="B24" s="144" t="s">
        <v>27</v>
      </c>
      <c r="C24" s="157">
        <v>9454004712</v>
      </c>
      <c r="D24" s="157">
        <v>400000000</v>
      </c>
      <c r="E24" s="78"/>
      <c r="F24" s="83">
        <f t="shared" si="4"/>
        <v>84394854</v>
      </c>
      <c r="G24" s="94">
        <f t="shared" si="5"/>
        <v>84394854</v>
      </c>
      <c r="H24" s="94">
        <f t="shared" si="6"/>
        <v>0</v>
      </c>
      <c r="I24" s="84">
        <f t="shared" si="7"/>
        <v>565395611</v>
      </c>
      <c r="J24" s="94">
        <f t="shared" si="8"/>
        <v>565395611</v>
      </c>
      <c r="K24" s="94">
        <f t="shared" si="9"/>
        <v>0</v>
      </c>
      <c r="L24" s="84">
        <f t="shared" si="10"/>
        <v>898186091</v>
      </c>
      <c r="M24" s="102">
        <f t="shared" si="16"/>
        <v>898186091</v>
      </c>
      <c r="N24" s="102">
        <f t="shared" si="1"/>
        <v>0</v>
      </c>
      <c r="O24" s="14"/>
      <c r="P24" s="91">
        <f t="shared" si="11"/>
        <v>7906028156</v>
      </c>
      <c r="Q24" s="15"/>
      <c r="R24" s="86">
        <f t="shared" si="12"/>
        <v>198186091</v>
      </c>
      <c r="S24" s="86">
        <f t="shared" si="2"/>
        <v>300000000</v>
      </c>
      <c r="T24" s="84">
        <f t="shared" si="13"/>
        <v>0</v>
      </c>
      <c r="U24" s="91">
        <f t="shared" si="3"/>
        <v>0</v>
      </c>
      <c r="V24" s="2"/>
      <c r="W24" s="52"/>
      <c r="X24" s="53"/>
      <c r="Y24" s="53"/>
      <c r="Z24" s="53"/>
      <c r="AA24" s="53"/>
      <c r="AB24" s="75"/>
      <c r="AC24" s="188" t="s">
        <v>8</v>
      </c>
      <c r="AD24" s="189">
        <f>SUM(AD16:AD23)</f>
        <v>48019</v>
      </c>
      <c r="AE24" s="1"/>
      <c r="AF24" s="52"/>
      <c r="AG24" s="53"/>
      <c r="AH24" s="53"/>
      <c r="AI24" s="53"/>
      <c r="AJ24" s="53"/>
      <c r="AK24" s="75"/>
      <c r="AL24" s="191" t="s">
        <v>8</v>
      </c>
      <c r="AM24" s="189">
        <f>SUM(AM16:AM23)</f>
        <v>704887</v>
      </c>
      <c r="AN24" s="1"/>
      <c r="AO24" s="193" t="s">
        <v>101</v>
      </c>
      <c r="AP24" s="184">
        <f>AD24+AM24</f>
        <v>752906</v>
      </c>
    </row>
    <row r="25" spans="2:43" ht="30.75" customHeight="1" x14ac:dyDescent="0.2">
      <c r="B25" s="144" t="s">
        <v>28</v>
      </c>
      <c r="C25" s="157">
        <v>9454004712</v>
      </c>
      <c r="D25" s="157">
        <v>400000000</v>
      </c>
      <c r="E25" s="78"/>
      <c r="F25" s="83">
        <f t="shared" si="4"/>
        <v>84394854</v>
      </c>
      <c r="G25" s="94">
        <f t="shared" si="5"/>
        <v>84394854</v>
      </c>
      <c r="H25" s="94">
        <f t="shared" si="6"/>
        <v>0</v>
      </c>
      <c r="I25" s="84">
        <f t="shared" si="7"/>
        <v>565395611</v>
      </c>
      <c r="J25" s="94">
        <f t="shared" si="8"/>
        <v>565395611</v>
      </c>
      <c r="K25" s="94">
        <f t="shared" si="9"/>
        <v>0</v>
      </c>
      <c r="L25" s="84">
        <f>IF(C25="","",R25+D25+S25+T25-U25)</f>
        <v>898186091</v>
      </c>
      <c r="M25" s="102">
        <f t="shared" si="16"/>
        <v>898186091</v>
      </c>
      <c r="N25" s="102">
        <f t="shared" si="1"/>
        <v>0</v>
      </c>
      <c r="O25" s="14"/>
      <c r="P25" s="91">
        <f t="shared" si="11"/>
        <v>7906028156</v>
      </c>
      <c r="Q25" s="15"/>
      <c r="R25" s="86">
        <f t="shared" si="12"/>
        <v>198186091</v>
      </c>
      <c r="S25" s="86">
        <f t="shared" si="2"/>
        <v>300000000</v>
      </c>
      <c r="T25" s="84">
        <f>IF(C25="","",ROUNDDOWN($T$4/$D$3,0)+$T$6)</f>
        <v>0</v>
      </c>
      <c r="U25" s="91">
        <f>IF(C25="","",IF($AA$4="○",ROUNDDOWN((R25+D25+S25+T25)*25/100,0)+ROUNDDOWN(AA$6/$D$3,0),ROUNDDOWN(AA$6/$D$3,0)))</f>
        <v>0</v>
      </c>
      <c r="V25" s="2"/>
      <c r="AC25" s="189"/>
      <c r="AD25" s="190"/>
      <c r="AE25" s="1"/>
      <c r="AF25" s="1"/>
      <c r="AL25" s="192"/>
      <c r="AM25" s="190"/>
      <c r="AN25" s="1"/>
      <c r="AO25" s="194"/>
      <c r="AP25" s="185"/>
      <c r="AQ25" s="67" t="s">
        <v>6</v>
      </c>
    </row>
    <row r="26" spans="2:43" ht="30.75" customHeight="1" thickBot="1" x14ac:dyDescent="0.25">
      <c r="B26" s="144" t="s">
        <v>29</v>
      </c>
      <c r="C26" s="157">
        <v>9454004712</v>
      </c>
      <c r="D26" s="157">
        <v>600000000</v>
      </c>
      <c r="E26" s="78"/>
      <c r="F26" s="83">
        <f t="shared" si="4"/>
        <v>84394854</v>
      </c>
      <c r="G26" s="94">
        <f t="shared" si="5"/>
        <v>84394854</v>
      </c>
      <c r="H26" s="94">
        <f t="shared" si="6"/>
        <v>0</v>
      </c>
      <c r="I26" s="84">
        <f t="shared" si="7"/>
        <v>565395611</v>
      </c>
      <c r="J26" s="94">
        <f t="shared" si="8"/>
        <v>565395611</v>
      </c>
      <c r="K26" s="94">
        <f>I26-J26</f>
        <v>0</v>
      </c>
      <c r="L26" s="84">
        <f t="shared" si="10"/>
        <v>1298186091</v>
      </c>
      <c r="M26" s="102">
        <f t="shared" si="16"/>
        <v>1298186091</v>
      </c>
      <c r="N26" s="102">
        <f t="shared" si="1"/>
        <v>0</v>
      </c>
      <c r="O26" s="14"/>
      <c r="P26" s="91">
        <f t="shared" si="11"/>
        <v>7506028156</v>
      </c>
      <c r="Q26" s="15"/>
      <c r="R26" s="86">
        <f t="shared" si="12"/>
        <v>198186091</v>
      </c>
      <c r="S26" s="86">
        <f t="shared" si="2"/>
        <v>500000000</v>
      </c>
      <c r="T26" s="84">
        <f t="shared" si="13"/>
        <v>0</v>
      </c>
      <c r="U26" s="91">
        <f t="shared" si="3"/>
        <v>0</v>
      </c>
      <c r="V26" s="2"/>
      <c r="AC26" s="9"/>
      <c r="AD26" s="9"/>
      <c r="AE26" s="1"/>
      <c r="AF26" s="1"/>
      <c r="AL26" s="9"/>
      <c r="AM26" s="9"/>
      <c r="AN26" s="1"/>
      <c r="AO26" s="1"/>
    </row>
    <row r="27" spans="2:43" ht="30.75" customHeight="1" x14ac:dyDescent="0.2">
      <c r="B27" s="144" t="s">
        <v>30</v>
      </c>
      <c r="C27" s="157">
        <v>9454004712</v>
      </c>
      <c r="D27" s="157">
        <v>600000000</v>
      </c>
      <c r="E27" s="78"/>
      <c r="F27" s="83">
        <f t="shared" si="4"/>
        <v>84394854</v>
      </c>
      <c r="G27" s="94">
        <f t="shared" si="5"/>
        <v>84394854</v>
      </c>
      <c r="H27" s="94">
        <f t="shared" si="6"/>
        <v>0</v>
      </c>
      <c r="I27" s="84">
        <f t="shared" si="7"/>
        <v>565395611</v>
      </c>
      <c r="J27" s="94">
        <f t="shared" si="8"/>
        <v>565395611</v>
      </c>
      <c r="K27" s="94">
        <f t="shared" si="9"/>
        <v>0</v>
      </c>
      <c r="L27" s="84">
        <f t="shared" si="10"/>
        <v>1298186091</v>
      </c>
      <c r="M27" s="102">
        <f t="shared" si="16"/>
        <v>1298186091</v>
      </c>
      <c r="N27" s="102">
        <f t="shared" si="1"/>
        <v>0</v>
      </c>
      <c r="O27" s="14"/>
      <c r="P27" s="91">
        <f t="shared" si="11"/>
        <v>7506028156</v>
      </c>
      <c r="Q27" s="15"/>
      <c r="R27" s="86">
        <f t="shared" si="12"/>
        <v>198186091</v>
      </c>
      <c r="S27" s="86">
        <f t="shared" si="2"/>
        <v>500000000</v>
      </c>
      <c r="T27" s="84">
        <f t="shared" si="13"/>
        <v>0</v>
      </c>
      <c r="U27" s="91">
        <f t="shared" si="3"/>
        <v>0</v>
      </c>
      <c r="V27" s="2"/>
      <c r="W27" s="44"/>
      <c r="X27" s="228" t="s">
        <v>102</v>
      </c>
      <c r="Y27" s="228"/>
      <c r="Z27" s="228"/>
      <c r="AA27" s="228"/>
      <c r="AB27" s="45"/>
      <c r="AD27" s="4"/>
      <c r="AE27" s="1"/>
      <c r="AF27" s="44"/>
      <c r="AG27" s="186" t="s">
        <v>103</v>
      </c>
      <c r="AH27" s="186"/>
      <c r="AI27" s="186"/>
      <c r="AJ27" s="186"/>
      <c r="AK27" s="45"/>
      <c r="AL27" s="4"/>
      <c r="AM27" s="4"/>
      <c r="AN27" s="1"/>
      <c r="AO27" s="1"/>
    </row>
    <row r="28" spans="2:43" ht="30.75" customHeight="1" x14ac:dyDescent="0.2">
      <c r="B28" s="144" t="s">
        <v>31</v>
      </c>
      <c r="C28" s="157">
        <v>9454004712</v>
      </c>
      <c r="D28" s="157">
        <v>600000000</v>
      </c>
      <c r="E28" s="78"/>
      <c r="F28" s="83">
        <f>IF(C28="","",$D$4)</f>
        <v>84394854</v>
      </c>
      <c r="G28" s="94">
        <f t="shared" si="5"/>
        <v>84394854</v>
      </c>
      <c r="H28" s="94">
        <f t="shared" si="6"/>
        <v>0</v>
      </c>
      <c r="I28" s="84">
        <f t="shared" si="7"/>
        <v>565395611</v>
      </c>
      <c r="J28" s="94">
        <f t="shared" si="8"/>
        <v>565395611</v>
      </c>
      <c r="K28" s="94">
        <f t="shared" si="9"/>
        <v>0</v>
      </c>
      <c r="L28" s="84">
        <f t="shared" si="10"/>
        <v>1298186091</v>
      </c>
      <c r="M28" s="102">
        <f t="shared" si="16"/>
        <v>1298186091</v>
      </c>
      <c r="N28" s="102">
        <f t="shared" si="1"/>
        <v>0</v>
      </c>
      <c r="O28" s="14"/>
      <c r="P28" s="91">
        <f t="shared" si="11"/>
        <v>7506028156</v>
      </c>
      <c r="Q28" s="15"/>
      <c r="R28" s="86">
        <f t="shared" si="12"/>
        <v>198186091</v>
      </c>
      <c r="S28" s="86">
        <f t="shared" si="2"/>
        <v>500000000</v>
      </c>
      <c r="T28" s="84">
        <f t="shared" si="13"/>
        <v>0</v>
      </c>
      <c r="U28" s="91">
        <f t="shared" si="3"/>
        <v>0</v>
      </c>
      <c r="V28" s="2"/>
      <c r="W28" s="46"/>
      <c r="X28" s="229"/>
      <c r="Y28" s="229"/>
      <c r="Z28" s="229"/>
      <c r="AA28" s="229"/>
      <c r="AB28" s="47"/>
      <c r="AD28" s="4"/>
      <c r="AE28" s="1"/>
      <c r="AF28" s="46"/>
      <c r="AG28" s="187"/>
      <c r="AH28" s="187"/>
      <c r="AI28" s="187"/>
      <c r="AJ28" s="187"/>
      <c r="AK28" s="47"/>
      <c r="AL28" s="4"/>
      <c r="AM28" s="4"/>
      <c r="AN28" s="1"/>
      <c r="AO28" s="1"/>
    </row>
    <row r="29" spans="2:43" ht="30.75" customHeight="1" x14ac:dyDescent="0.2">
      <c r="B29" s="144" t="s">
        <v>32</v>
      </c>
      <c r="C29" s="157">
        <v>9454004712</v>
      </c>
      <c r="D29" s="157">
        <v>600000000</v>
      </c>
      <c r="E29" s="78"/>
      <c r="F29" s="83">
        <f>IF(C29="","",IF(VALUE(LEFT(B29,2))&gt;$D$3,"",$D$4))</f>
        <v>84394854</v>
      </c>
      <c r="G29" s="94">
        <f>IF(VALUE(LEFT(B29,2))&gt;$D$3,"",MIN(C29,$D$4))</f>
        <v>84394854</v>
      </c>
      <c r="H29" s="94">
        <f>IF(VALUE(LEFT(B29,2))&gt;$D$3,"",F29-G29)</f>
        <v>0</v>
      </c>
      <c r="I29" s="84">
        <f>IF(C29="","",IF(VALUE(LEFT(B29,2))&gt;$D$3,"",MAX(ROUNDDOWN($P$3/365,0)-$D$4,0)))</f>
        <v>565395611</v>
      </c>
      <c r="J29" s="94">
        <f>IF(VALUE(LEFT(B29,2))&gt;$D$3,"",MAX(MIN(C29-G29,ROUNDDOWN($P$3/365,0)-G29),0))</f>
        <v>565395611</v>
      </c>
      <c r="K29" s="94">
        <f>IF(VALUE(LEFT(B29,2))&gt;$D$3,"",I29-J29)</f>
        <v>0</v>
      </c>
      <c r="L29" s="84">
        <f>IF(C29="","",IF(VALUE(LEFT(B29,2))&gt;$D$3,"",R29+D29+S29+T29-U29))</f>
        <v>1298186091</v>
      </c>
      <c r="M29" s="102">
        <f>IF(VALUE(LEFT(B29,2))&gt;D$3,"",MAX(MIN(C29-G29-J29,R29+D29+S29+T29-U29),0))</f>
        <v>1298186091</v>
      </c>
      <c r="N29" s="102">
        <f>IF(VALUE(LEFT(B29,2))&gt;$D$3,"",L29-M29)</f>
        <v>0</v>
      </c>
      <c r="O29" s="14"/>
      <c r="P29" s="91">
        <f>IF(C29="","",IF(VALUE(LEFT(B29,2))&gt;$D$3,"",MAX(C29-(F29+I29+L29),0)))</f>
        <v>7506028156</v>
      </c>
      <c r="Q29" s="15"/>
      <c r="R29" s="86">
        <f>IF(C29="","",IF(VALUE(LEFT(B29,2))&gt;$D$3,"",ROUNDDOWN(ROUNDDOWN($P$3/365,0)*D$5/100,0)+IFERROR(ROUNDDOWN(ROUNDDOWN(T$8/T$9,0)*$D$5/100,0),0)))</f>
        <v>198186091</v>
      </c>
      <c r="S29" s="86">
        <f>IF(C29="","",IF(VALUE(LEFT(B29,2))&gt;$D$3,"",ROUNDDOWN((MAX(D29-E29-$P$4,0)*$D$6/100),0)))</f>
        <v>500000000</v>
      </c>
      <c r="T29" s="84">
        <f>IF(C29="","",IF(VALUE(LEFT(B29,2))&gt;$D$3,"",ROUNDDOWN($T$4/$D$3,0)+$T$6))</f>
        <v>0</v>
      </c>
      <c r="U29" s="91">
        <f>IF(C29="","",IF(VALUE(LEFT(B29,2))&gt;$D$3,"",IF($AA$4="○",ROUNDDOWN((R29+D29+S29+T29)*25/100,0)+ROUNDDOWN(AA$6/$D$3,0),ROUNDDOWN(AA$6/$D$3,0))))</f>
        <v>0</v>
      </c>
      <c r="V29" s="2"/>
      <c r="W29" s="49"/>
      <c r="X29" s="183" t="s">
        <v>52</v>
      </c>
      <c r="Y29" s="183"/>
      <c r="Z29" s="256" t="s">
        <v>60</v>
      </c>
      <c r="AA29" s="183" t="s">
        <v>61</v>
      </c>
      <c r="AB29" s="50"/>
      <c r="AC29" s="130"/>
      <c r="AD29" s="130"/>
      <c r="AE29" s="1"/>
      <c r="AF29" s="49"/>
      <c r="AG29" s="183" t="s">
        <v>52</v>
      </c>
      <c r="AH29" s="183"/>
      <c r="AI29" s="183" t="s">
        <v>106</v>
      </c>
      <c r="AJ29" s="183" t="s">
        <v>109</v>
      </c>
      <c r="AK29" s="50"/>
      <c r="AL29" s="130"/>
      <c r="AM29" s="130"/>
      <c r="AN29" s="1"/>
      <c r="AO29" s="1"/>
    </row>
    <row r="30" spans="2:43" ht="30.75" customHeight="1" x14ac:dyDescent="0.2">
      <c r="B30" s="144" t="s">
        <v>33</v>
      </c>
      <c r="C30" s="157">
        <v>9454004712</v>
      </c>
      <c r="D30" s="157">
        <v>600000000</v>
      </c>
      <c r="E30" s="78"/>
      <c r="F30" s="83">
        <f>IF(C30="","",IF(VALUE(LEFT(B30,2))&gt;$D$3,"",$D$4))</f>
        <v>84394854</v>
      </c>
      <c r="G30" s="94">
        <f>IF(VALUE(LEFT(B30,2))&gt;$D$3,"",MIN(C30,$D$4))</f>
        <v>84394854</v>
      </c>
      <c r="H30" s="94">
        <f>IF(VALUE(LEFT(B30,2))&gt;$D$3,"",F30-G30)</f>
        <v>0</v>
      </c>
      <c r="I30" s="84">
        <f>IF(C30="","",IF(VALUE(LEFT(B30,2))&gt;$D$3,"",MAX(ROUNDDOWN($P$3/365,0)-$D$4,0)))</f>
        <v>565395611</v>
      </c>
      <c r="J30" s="94">
        <f>IF(VALUE(LEFT(B30,2))&gt;$D$3,"",MAX(MIN(C30-G30,ROUNDDOWN($P$3/365,0)-G30),0))</f>
        <v>565395611</v>
      </c>
      <c r="K30" s="94">
        <f>IF(VALUE(LEFT(B30,2))&gt;$D$3,"",I30-J30)</f>
        <v>0</v>
      </c>
      <c r="L30" s="84">
        <f>IF(C30="","",IF(VALUE(LEFT(B30,2))&gt;$D$3,"",R30+D30+S30+T30-U30))</f>
        <v>1298186091</v>
      </c>
      <c r="M30" s="102">
        <f>IF(VALUE(LEFT(B30,2))&gt;D$3,"",MAX(MIN(C30-G30-J30,R30+D30+S30+T30-U30),0))</f>
        <v>1298186091</v>
      </c>
      <c r="N30" s="102">
        <f>IF(VALUE(LEFT(B30,2))&gt;$D$3,"",L30-M30)</f>
        <v>0</v>
      </c>
      <c r="O30" s="14"/>
      <c r="P30" s="91">
        <f>IF(C30="","",IF(VALUE(LEFT(B30,2))&gt;$D$3,"",MAX(C30-(F30+I30+L30),0)))</f>
        <v>7506028156</v>
      </c>
      <c r="Q30" s="15"/>
      <c r="R30" s="86">
        <f>IF(C30="","",IF(VALUE(LEFT(B30,2))&gt;$D$3,"",ROUNDDOWN(ROUNDDOWN($P$3/365,0)*D$5/100,0)+IFERROR(ROUNDDOWN(ROUNDDOWN(T$8/T$9,0)*$D$5/100,0),0)))</f>
        <v>198186091</v>
      </c>
      <c r="S30" s="86">
        <f>IF(C30="","",IF(VALUE(LEFT(B30,2))&gt;$D$3,"",ROUNDDOWN((MAX(D30-E30-$P$4,0)*$D$6/100),0)))</f>
        <v>500000000</v>
      </c>
      <c r="T30" s="84">
        <f>IF(C30="","",IF(VALUE(LEFT(B30,2))&gt;$D$3,"",ROUNDDOWN($T$4/$D$3,0)+$T$6))</f>
        <v>0</v>
      </c>
      <c r="U30" s="91">
        <f>IF(C30="","",IF(VALUE(LEFT(B30,2))&gt;$D$3,"",IF($AA$4="○",ROUNDDOWN((R30+D30+S30+T30)*25/100,0)+ROUNDDOWN(AA$6/$D$3,0),ROUNDDOWN(AA$6/$D$3,0))))</f>
        <v>0</v>
      </c>
      <c r="V30" s="25"/>
      <c r="W30" s="46"/>
      <c r="X30" s="183"/>
      <c r="Y30" s="183"/>
      <c r="Z30" s="256"/>
      <c r="AA30" s="183"/>
      <c r="AB30" s="47"/>
      <c r="AD30" s="4"/>
      <c r="AE30" s="1"/>
      <c r="AF30" s="46"/>
      <c r="AG30" s="183"/>
      <c r="AH30" s="183"/>
      <c r="AI30" s="183"/>
      <c r="AJ30" s="183"/>
      <c r="AK30" s="47"/>
      <c r="AL30" s="4"/>
      <c r="AM30" s="4"/>
      <c r="AN30" s="1"/>
      <c r="AO30" s="1"/>
    </row>
    <row r="31" spans="2:43" ht="30.75" customHeight="1" x14ac:dyDescent="0.2">
      <c r="B31" s="144" t="s">
        <v>34</v>
      </c>
      <c r="C31" s="157">
        <v>9454004712</v>
      </c>
      <c r="D31" s="157">
        <v>600000000</v>
      </c>
      <c r="E31" s="78"/>
      <c r="F31" s="83">
        <f>IF(C31="","",IF(VALUE(LEFT(B31,2))&gt;$D$3,"",$D$4))</f>
        <v>84394854</v>
      </c>
      <c r="G31" s="94">
        <f>IF(VALUE(LEFT(B31,2))&gt;$D$3,"",MIN(C31,$D$4))</f>
        <v>84394854</v>
      </c>
      <c r="H31" s="94">
        <f>IF(VALUE(LEFT(B31,2))&gt;$D$3,"",F31-G31)</f>
        <v>0</v>
      </c>
      <c r="I31" s="84">
        <f>IF(C31="","",IF(VALUE(LEFT(B31,2))&gt;$D$3,"",MAX(ROUNDDOWN($P$3/365,0)-$D$4,0)))</f>
        <v>565395611</v>
      </c>
      <c r="J31" s="94">
        <f>IF(VALUE(LEFT(B31,2))&gt;$D$3,"",MAX(MIN(C31-G31,ROUNDDOWN($P$3/365,0)-G31),0))</f>
        <v>565395611</v>
      </c>
      <c r="K31" s="94">
        <f>IF(VALUE(LEFT(B31,2))&gt;$D$3,"",I31-J31)</f>
        <v>0</v>
      </c>
      <c r="L31" s="84">
        <f>IF(C31="","",IF(VALUE(LEFT(B31,2))&gt;$D$3,"",R31+D31+S31+T31-U31))</f>
        <v>1298186091</v>
      </c>
      <c r="M31" s="102">
        <f>IF(VALUE(LEFT(B31,2))&gt;D$3,"",MAX(MIN(C31-G31-J31,R31+D31+S31+T31-U31),0))</f>
        <v>1298186091</v>
      </c>
      <c r="N31" s="102">
        <f>IF(VALUE(LEFT(B31,2))&gt;$D$3,"",L31-M31)</f>
        <v>0</v>
      </c>
      <c r="O31" s="14"/>
      <c r="P31" s="91">
        <f>IF(C31="","",IF(VALUE(LEFT(B31,2))&gt;$D$3,"",MAX(C31-(F31+I31+L31),0)))</f>
        <v>7506028156</v>
      </c>
      <c r="Q31" s="15"/>
      <c r="R31" s="86">
        <f>IF(C31="","",IF(VALUE(LEFT(B31,2))&gt;$D$3,"",ROUNDDOWN(ROUNDDOWN($P$3/365,0)*D$5/100,0)+IFERROR(ROUNDDOWN(ROUNDDOWN(T$8/T$9,0)*$D$5/100,0),0)))</f>
        <v>198186091</v>
      </c>
      <c r="S31" s="86">
        <f>IF(C31="","",IF(VALUE(LEFT(B31,2))&gt;$D$3,"",ROUNDDOWN((MAX(D31-E31-$P$4,0)*$D$6/100),0)))</f>
        <v>500000000</v>
      </c>
      <c r="T31" s="84">
        <f>IF(C31="","",IF(VALUE(LEFT(B31,2))&gt;$D$3,"",ROUNDDOWN($T$4/$D$3,0)+$T$6))</f>
        <v>0</v>
      </c>
      <c r="U31" s="91">
        <f>IF(C31="","",IF(VALUE(LEFT(B31,2))&gt;$D$3,"",IF($AA$4="○",ROUNDDOWN((R31+D31+S31+T31)*25/100,0)+ROUNDDOWN(AA$6/$D$3,0),ROUNDDOWN(AA$6/$D$3,0))))</f>
        <v>0</v>
      </c>
      <c r="V31" s="2"/>
      <c r="W31" s="49"/>
      <c r="X31" s="183"/>
      <c r="Y31" s="183"/>
      <c r="Z31" s="74">
        <f>$D$4*$D$3</f>
        <v>2616240474</v>
      </c>
      <c r="AA31" s="74">
        <f>MAX($Z$31-$AA$16,0)</f>
        <v>0</v>
      </c>
      <c r="AB31" s="51"/>
      <c r="AC31" s="131"/>
      <c r="AD31" s="131"/>
      <c r="AE31" s="1"/>
      <c r="AF31" s="49"/>
      <c r="AG31" s="183"/>
      <c r="AH31" s="183"/>
      <c r="AI31" s="74">
        <f>$AA$31</f>
        <v>0</v>
      </c>
      <c r="AJ31" s="74">
        <f>MAX($AI$31-$AJ$16,0)</f>
        <v>0</v>
      </c>
      <c r="AK31" s="51"/>
      <c r="AL31" s="131"/>
      <c r="AM31" s="131"/>
      <c r="AN31" s="1"/>
      <c r="AO31" s="1"/>
    </row>
    <row r="32" spans="2:43" ht="30.75" customHeight="1" x14ac:dyDescent="0.2">
      <c r="B32" s="144" t="s">
        <v>18</v>
      </c>
      <c r="C32" s="157">
        <v>9454004712</v>
      </c>
      <c r="D32" s="157">
        <v>600000000</v>
      </c>
      <c r="E32" s="78"/>
      <c r="F32" s="83">
        <f>IF(C32="","",$D$4)</f>
        <v>84394854</v>
      </c>
      <c r="G32" s="94">
        <f t="shared" ref="G32:G46" si="21">MIN(C32,$D$4)</f>
        <v>84394854</v>
      </c>
      <c r="H32" s="94">
        <f t="shared" si="6"/>
        <v>0</v>
      </c>
      <c r="I32" s="84">
        <f>IF(C32="","",MAX(ROUNDDOWN($P$3/365,0)-$D$4,0))</f>
        <v>565395611</v>
      </c>
      <c r="J32" s="94">
        <f t="shared" ref="J32:J46" si="22">MAX(MIN(C32-G32,ROUNDDOWN($P$3/365,0)-G32),0)</f>
        <v>565395611</v>
      </c>
      <c r="K32" s="94">
        <f>I32-J32</f>
        <v>0</v>
      </c>
      <c r="L32" s="84">
        <f>IF(C32="","",R32+D32+S32+T32-U32)</f>
        <v>1298186091</v>
      </c>
      <c r="M32" s="102">
        <f>MAX(MIN(C32-G32-J32,R32+D32+S32+T32-U32),0)</f>
        <v>1298186091</v>
      </c>
      <c r="N32" s="102">
        <f t="shared" si="1"/>
        <v>0</v>
      </c>
      <c r="O32" s="14"/>
      <c r="P32" s="91">
        <f t="shared" ref="P32:P46" si="23">IF(C32="","",MAX(C32-(F32+I32+L32),0))</f>
        <v>7506028156</v>
      </c>
      <c r="Q32" s="15"/>
      <c r="R32" s="86">
        <f t="shared" ref="R32:R46" si="24">IF(C32="","",ROUNDDOWN(ROUNDDOWN($P$3/365,0)*$D$5/100,0)+IFERROR(ROUNDDOWN(ROUNDDOWN(T$8/T$9,0)*$D$5/100,0),0))</f>
        <v>198186091</v>
      </c>
      <c r="S32" s="86">
        <f t="shared" si="2"/>
        <v>500000000</v>
      </c>
      <c r="T32" s="84">
        <f t="shared" ref="T32:T46" si="25">IF(C32="","",ROUNDDOWN($T$4/$D$3,0)+$T$6)</f>
        <v>0</v>
      </c>
      <c r="U32" s="91">
        <f t="shared" si="3"/>
        <v>0</v>
      </c>
      <c r="V32" s="2"/>
      <c r="W32" s="46"/>
      <c r="X32" s="183" t="s">
        <v>53</v>
      </c>
      <c r="Y32" s="183"/>
      <c r="Z32" s="256" t="s">
        <v>62</v>
      </c>
      <c r="AA32" s="183" t="s">
        <v>64</v>
      </c>
      <c r="AB32" s="47"/>
      <c r="AD32" s="4"/>
      <c r="AE32" s="1"/>
      <c r="AF32" s="46"/>
      <c r="AG32" s="183" t="s">
        <v>53</v>
      </c>
      <c r="AH32" s="183"/>
      <c r="AI32" s="183" t="s">
        <v>107</v>
      </c>
      <c r="AJ32" s="183" t="s">
        <v>110</v>
      </c>
      <c r="AK32" s="47"/>
      <c r="AL32" s="4"/>
      <c r="AM32" s="4"/>
      <c r="AN32" s="1"/>
      <c r="AO32" s="1"/>
    </row>
    <row r="33" spans="2:41" ht="30.75" customHeight="1" x14ac:dyDescent="0.2">
      <c r="B33" s="144" t="s">
        <v>35</v>
      </c>
      <c r="C33" s="157">
        <v>9834004712</v>
      </c>
      <c r="D33" s="157">
        <v>600000000</v>
      </c>
      <c r="E33" s="78"/>
      <c r="F33" s="83">
        <f t="shared" ref="F33:F45" si="26">IF(C33="","",$D$4)</f>
        <v>84394854</v>
      </c>
      <c r="G33" s="94">
        <f t="shared" si="21"/>
        <v>84394854</v>
      </c>
      <c r="H33" s="94">
        <f t="shared" si="6"/>
        <v>0</v>
      </c>
      <c r="I33" s="84">
        <f t="shared" ref="I33:I45" si="27">IF(C33="","",MAX(ROUNDDOWN($P$3/365,0)-$D$4,0))</f>
        <v>565395611</v>
      </c>
      <c r="J33" s="94">
        <f t="shared" si="22"/>
        <v>565395611</v>
      </c>
      <c r="K33" s="94">
        <f t="shared" si="9"/>
        <v>0</v>
      </c>
      <c r="L33" s="84">
        <f>IF(C33="","",R33+D33+S33+T33-U33)</f>
        <v>1298186091</v>
      </c>
      <c r="M33" s="102">
        <f t="shared" ref="M33:M45" si="28">MAX(MIN(C33-G33-J33,R33+D33+S33+T33-U33),0)</f>
        <v>1298186091</v>
      </c>
      <c r="N33" s="102">
        <f t="shared" si="1"/>
        <v>0</v>
      </c>
      <c r="O33" s="14"/>
      <c r="P33" s="91">
        <f t="shared" si="23"/>
        <v>7886028156</v>
      </c>
      <c r="Q33" s="15"/>
      <c r="R33" s="86">
        <f t="shared" si="24"/>
        <v>198186091</v>
      </c>
      <c r="S33" s="86">
        <f t="shared" si="2"/>
        <v>500000000</v>
      </c>
      <c r="T33" s="84">
        <f t="shared" si="25"/>
        <v>0</v>
      </c>
      <c r="U33" s="91">
        <f t="shared" si="3"/>
        <v>0</v>
      </c>
      <c r="V33" s="2"/>
      <c r="W33" s="46"/>
      <c r="X33" s="183"/>
      <c r="Y33" s="183"/>
      <c r="Z33" s="256"/>
      <c r="AA33" s="183"/>
      <c r="AB33" s="47"/>
      <c r="AD33" s="4"/>
      <c r="AE33" s="1"/>
      <c r="AF33" s="46"/>
      <c r="AG33" s="183"/>
      <c r="AH33" s="183"/>
      <c r="AI33" s="183"/>
      <c r="AJ33" s="183"/>
      <c r="AK33" s="47"/>
      <c r="AL33" s="4"/>
      <c r="AM33" s="4"/>
      <c r="AN33" s="1"/>
      <c r="AO33" s="1"/>
    </row>
    <row r="34" spans="2:41" ht="30.75" customHeight="1" x14ac:dyDescent="0.2">
      <c r="B34" s="144" t="s">
        <v>36</v>
      </c>
      <c r="C34" s="157">
        <v>9974004712</v>
      </c>
      <c r="D34" s="157">
        <v>600000000</v>
      </c>
      <c r="E34" s="78"/>
      <c r="F34" s="83">
        <f t="shared" si="26"/>
        <v>84394854</v>
      </c>
      <c r="G34" s="94">
        <f t="shared" si="21"/>
        <v>84394854</v>
      </c>
      <c r="H34" s="94">
        <f t="shared" si="6"/>
        <v>0</v>
      </c>
      <c r="I34" s="84">
        <f t="shared" si="27"/>
        <v>565395611</v>
      </c>
      <c r="J34" s="94">
        <f t="shared" si="22"/>
        <v>565395611</v>
      </c>
      <c r="K34" s="94">
        <f t="shared" si="9"/>
        <v>0</v>
      </c>
      <c r="L34" s="84">
        <f t="shared" ref="L34:L46" si="29">IF(C34="","",R34+D34+S34+T34-U34)</f>
        <v>1298186091</v>
      </c>
      <c r="M34" s="102">
        <f t="shared" si="28"/>
        <v>1298186091</v>
      </c>
      <c r="N34" s="102">
        <f t="shared" si="1"/>
        <v>0</v>
      </c>
      <c r="O34" s="14"/>
      <c r="P34" s="91">
        <f t="shared" si="23"/>
        <v>8026028156</v>
      </c>
      <c r="Q34" s="15"/>
      <c r="R34" s="86">
        <f t="shared" si="24"/>
        <v>198186091</v>
      </c>
      <c r="S34" s="86">
        <f t="shared" si="2"/>
        <v>500000000</v>
      </c>
      <c r="T34" s="84">
        <f t="shared" si="25"/>
        <v>0</v>
      </c>
      <c r="U34" s="91">
        <f t="shared" si="3"/>
        <v>0</v>
      </c>
      <c r="V34" s="2"/>
      <c r="W34" s="49"/>
      <c r="X34" s="183"/>
      <c r="Y34" s="183"/>
      <c r="Z34" s="74">
        <f>MAX(ROUNDDOWN($P$3*$D$3/365,0)-$D$4*$D$3,0)</f>
        <v>17527263953</v>
      </c>
      <c r="AA34" s="74">
        <f>MAX($Z$34-$AA$18,0)</f>
        <v>0</v>
      </c>
      <c r="AB34" s="47"/>
      <c r="AD34" s="4"/>
      <c r="AE34" s="1"/>
      <c r="AF34" s="49"/>
      <c r="AG34" s="183"/>
      <c r="AH34" s="183"/>
      <c r="AI34" s="74">
        <f>$AA$34</f>
        <v>0</v>
      </c>
      <c r="AJ34" s="74">
        <f>MAX($AI$34-$AJ$18,0)</f>
        <v>0</v>
      </c>
      <c r="AK34" s="47"/>
      <c r="AL34" s="4"/>
      <c r="AM34" s="4"/>
      <c r="AN34" s="1"/>
      <c r="AO34" s="1"/>
    </row>
    <row r="35" spans="2:41" ht="30.75" customHeight="1" x14ac:dyDescent="0.2">
      <c r="B35" s="144" t="s">
        <v>37</v>
      </c>
      <c r="C35" s="157">
        <v>9934004712</v>
      </c>
      <c r="D35" s="157">
        <v>600000000</v>
      </c>
      <c r="E35" s="78"/>
      <c r="F35" s="83">
        <f t="shared" si="26"/>
        <v>84394854</v>
      </c>
      <c r="G35" s="94">
        <f t="shared" si="21"/>
        <v>84394854</v>
      </c>
      <c r="H35" s="94">
        <f t="shared" si="6"/>
        <v>0</v>
      </c>
      <c r="I35" s="84">
        <f t="shared" si="27"/>
        <v>565395611</v>
      </c>
      <c r="J35" s="94">
        <f t="shared" si="22"/>
        <v>565395611</v>
      </c>
      <c r="K35" s="94">
        <f t="shared" si="9"/>
        <v>0</v>
      </c>
      <c r="L35" s="84">
        <f t="shared" si="29"/>
        <v>1298186091</v>
      </c>
      <c r="M35" s="102">
        <f t="shared" si="28"/>
        <v>1298186091</v>
      </c>
      <c r="N35" s="102">
        <f t="shared" si="1"/>
        <v>0</v>
      </c>
      <c r="O35" s="14"/>
      <c r="P35" s="91">
        <f t="shared" si="23"/>
        <v>7986028156</v>
      </c>
      <c r="Q35" s="15"/>
      <c r="R35" s="86">
        <f t="shared" si="24"/>
        <v>198186091</v>
      </c>
      <c r="S35" s="86">
        <f t="shared" si="2"/>
        <v>500000000</v>
      </c>
      <c r="T35" s="84">
        <f t="shared" si="25"/>
        <v>0</v>
      </c>
      <c r="U35" s="91">
        <f t="shared" si="3"/>
        <v>0</v>
      </c>
      <c r="V35" s="2"/>
      <c r="W35" s="46"/>
      <c r="X35" s="183" t="s">
        <v>57</v>
      </c>
      <c r="Y35" s="183"/>
      <c r="Z35" s="256" t="s">
        <v>63</v>
      </c>
      <c r="AA35" s="183" t="s">
        <v>65</v>
      </c>
      <c r="AB35" s="47"/>
      <c r="AD35" s="4"/>
      <c r="AE35" s="1"/>
      <c r="AF35" s="46"/>
      <c r="AG35" s="183" t="s">
        <v>57</v>
      </c>
      <c r="AH35" s="183"/>
      <c r="AI35" s="183" t="s">
        <v>108</v>
      </c>
      <c r="AJ35" s="183" t="s">
        <v>111</v>
      </c>
      <c r="AK35" s="47"/>
      <c r="AL35" s="4"/>
      <c r="AM35" s="4"/>
      <c r="AN35" s="1"/>
      <c r="AO35" s="1"/>
    </row>
    <row r="36" spans="2:41" ht="30.75" customHeight="1" x14ac:dyDescent="0.2">
      <c r="B36" s="144" t="s">
        <v>38</v>
      </c>
      <c r="C36" s="157">
        <v>9934004712</v>
      </c>
      <c r="D36" s="157">
        <v>600000000</v>
      </c>
      <c r="E36" s="78"/>
      <c r="F36" s="83">
        <f t="shared" si="26"/>
        <v>84394854</v>
      </c>
      <c r="G36" s="94">
        <f t="shared" si="21"/>
        <v>84394854</v>
      </c>
      <c r="H36" s="94">
        <f t="shared" si="6"/>
        <v>0</v>
      </c>
      <c r="I36" s="84">
        <f t="shared" si="27"/>
        <v>565395611</v>
      </c>
      <c r="J36" s="94">
        <f t="shared" si="22"/>
        <v>565395611</v>
      </c>
      <c r="K36" s="94">
        <f t="shared" si="9"/>
        <v>0</v>
      </c>
      <c r="L36" s="84">
        <f t="shared" si="29"/>
        <v>1298186091</v>
      </c>
      <c r="M36" s="102">
        <f t="shared" si="28"/>
        <v>1298186091</v>
      </c>
      <c r="N36" s="102">
        <f t="shared" si="1"/>
        <v>0</v>
      </c>
      <c r="O36" s="14"/>
      <c r="P36" s="91">
        <f t="shared" si="23"/>
        <v>7986028156</v>
      </c>
      <c r="Q36" s="15"/>
      <c r="R36" s="86">
        <f t="shared" si="24"/>
        <v>198186091</v>
      </c>
      <c r="S36" s="86">
        <f t="shared" si="2"/>
        <v>500000000</v>
      </c>
      <c r="T36" s="84">
        <f t="shared" si="25"/>
        <v>0</v>
      </c>
      <c r="U36" s="91">
        <f t="shared" si="3"/>
        <v>0</v>
      </c>
      <c r="V36" s="2"/>
      <c r="W36" s="49"/>
      <c r="X36" s="183"/>
      <c r="Y36" s="183"/>
      <c r="Z36" s="256"/>
      <c r="AA36" s="183"/>
      <c r="AB36" s="50"/>
      <c r="AC36" s="130"/>
      <c r="AD36" s="130"/>
      <c r="AE36" s="1"/>
      <c r="AF36" s="49"/>
      <c r="AG36" s="183"/>
      <c r="AH36" s="183"/>
      <c r="AI36" s="183"/>
      <c r="AJ36" s="183"/>
      <c r="AK36" s="50"/>
      <c r="AL36" s="130"/>
      <c r="AM36" s="130"/>
      <c r="AN36" s="1"/>
      <c r="AO36" s="1"/>
    </row>
    <row r="37" spans="2:41" ht="30.75" customHeight="1" x14ac:dyDescent="0.2">
      <c r="B37" s="144" t="s">
        <v>39</v>
      </c>
      <c r="C37" s="157">
        <v>9934004712</v>
      </c>
      <c r="D37" s="157">
        <v>800000000</v>
      </c>
      <c r="E37" s="78"/>
      <c r="F37" s="83">
        <f t="shared" si="26"/>
        <v>84394854</v>
      </c>
      <c r="G37" s="94">
        <f t="shared" si="21"/>
        <v>84394854</v>
      </c>
      <c r="H37" s="94">
        <f t="shared" si="6"/>
        <v>0</v>
      </c>
      <c r="I37" s="84">
        <f>IF(C37="","",MAX(ROUNDDOWN($P$3/365,0)-$D$4,0))</f>
        <v>565395611</v>
      </c>
      <c r="J37" s="94">
        <f t="shared" si="22"/>
        <v>565395611</v>
      </c>
      <c r="K37" s="94">
        <f t="shared" si="9"/>
        <v>0</v>
      </c>
      <c r="L37" s="84">
        <f t="shared" si="29"/>
        <v>1698186091</v>
      </c>
      <c r="M37" s="102">
        <f t="shared" si="28"/>
        <v>1698186091</v>
      </c>
      <c r="N37" s="102">
        <f t="shared" si="1"/>
        <v>0</v>
      </c>
      <c r="O37" s="14"/>
      <c r="P37" s="91">
        <f t="shared" si="23"/>
        <v>7586028156</v>
      </c>
      <c r="Q37" s="15"/>
      <c r="R37" s="86">
        <f t="shared" si="24"/>
        <v>198186091</v>
      </c>
      <c r="S37" s="86">
        <f t="shared" si="2"/>
        <v>700000000</v>
      </c>
      <c r="T37" s="84">
        <f t="shared" si="25"/>
        <v>0</v>
      </c>
      <c r="U37" s="91">
        <f t="shared" si="3"/>
        <v>0</v>
      </c>
      <c r="V37" s="2"/>
      <c r="W37" s="46"/>
      <c r="X37" s="183"/>
      <c r="Y37" s="183"/>
      <c r="Z37" s="74">
        <f>M52-IF(AA4="○",INT(M52*25/100),0)-AA6</f>
        <v>40243768850</v>
      </c>
      <c r="AA37" s="74">
        <f>MAX(Z37-AA20,0)</f>
        <v>12717249717</v>
      </c>
      <c r="AB37" s="47"/>
      <c r="AD37" s="4"/>
      <c r="AE37" s="1"/>
      <c r="AF37" s="46"/>
      <c r="AG37" s="183"/>
      <c r="AH37" s="183"/>
      <c r="AI37" s="74">
        <f>$AA$37</f>
        <v>12717249717</v>
      </c>
      <c r="AJ37" s="74">
        <f>MAX(AI37-$AJ$20,0)</f>
        <v>0</v>
      </c>
      <c r="AK37" s="47"/>
      <c r="AL37" s="4"/>
      <c r="AM37" s="4"/>
      <c r="AN37" s="1"/>
      <c r="AO37" s="1"/>
    </row>
    <row r="38" spans="2:41" ht="30.75" customHeight="1" x14ac:dyDescent="0.2">
      <c r="B38" s="144" t="s">
        <v>40</v>
      </c>
      <c r="C38" s="157">
        <v>9934004712</v>
      </c>
      <c r="D38" s="157">
        <v>800000000</v>
      </c>
      <c r="E38" s="78"/>
      <c r="F38" s="83">
        <f t="shared" si="26"/>
        <v>84394854</v>
      </c>
      <c r="G38" s="94">
        <f t="shared" si="21"/>
        <v>84394854</v>
      </c>
      <c r="H38" s="94">
        <f t="shared" si="6"/>
        <v>0</v>
      </c>
      <c r="I38" s="84">
        <f t="shared" si="27"/>
        <v>565395611</v>
      </c>
      <c r="J38" s="94">
        <f t="shared" si="22"/>
        <v>565395611</v>
      </c>
      <c r="K38" s="94">
        <f t="shared" si="9"/>
        <v>0</v>
      </c>
      <c r="L38" s="84">
        <f t="shared" si="29"/>
        <v>1698186091</v>
      </c>
      <c r="M38" s="102">
        <f t="shared" si="28"/>
        <v>1698186091</v>
      </c>
      <c r="N38" s="102">
        <f t="shared" si="1"/>
        <v>0</v>
      </c>
      <c r="O38" s="14"/>
      <c r="P38" s="91">
        <f t="shared" si="23"/>
        <v>7586028156</v>
      </c>
      <c r="Q38" s="15"/>
      <c r="R38" s="86">
        <f t="shared" si="24"/>
        <v>198186091</v>
      </c>
      <c r="S38" s="86">
        <f t="shared" si="2"/>
        <v>700000000</v>
      </c>
      <c r="T38" s="84">
        <f t="shared" si="25"/>
        <v>0</v>
      </c>
      <c r="U38" s="91">
        <f t="shared" si="3"/>
        <v>0</v>
      </c>
      <c r="V38" s="2"/>
      <c r="W38" s="49"/>
      <c r="X38" s="181" t="s">
        <v>74</v>
      </c>
      <c r="Y38" s="181"/>
      <c r="Z38" s="181"/>
      <c r="AA38" s="182" t="str">
        <f>IF(($AA$20+$AJ$20)&lt;$M$52*50/100,"○","")</f>
        <v/>
      </c>
      <c r="AB38" s="47"/>
      <c r="AD38" s="4"/>
      <c r="AE38" s="1"/>
      <c r="AF38" s="49"/>
      <c r="AG38" s="181" t="s">
        <v>74</v>
      </c>
      <c r="AH38" s="181"/>
      <c r="AI38" s="181"/>
      <c r="AJ38" s="182" t="str">
        <f>IF(($AA$20+$AJ$20)&lt;$M$52*50/100,"○","")</f>
        <v/>
      </c>
      <c r="AK38" s="47"/>
      <c r="AL38" s="4"/>
      <c r="AM38" s="4"/>
      <c r="AN38" s="1"/>
      <c r="AO38" s="1"/>
    </row>
    <row r="39" spans="2:41" ht="30.75" customHeight="1" x14ac:dyDescent="0.2">
      <c r="B39" s="144" t="s">
        <v>41</v>
      </c>
      <c r="C39" s="157">
        <v>9934004712</v>
      </c>
      <c r="D39" s="157">
        <v>800000000</v>
      </c>
      <c r="E39" s="78"/>
      <c r="F39" s="83">
        <f t="shared" si="26"/>
        <v>84394854</v>
      </c>
      <c r="G39" s="94">
        <f t="shared" si="21"/>
        <v>84394854</v>
      </c>
      <c r="H39" s="94">
        <f t="shared" si="6"/>
        <v>0</v>
      </c>
      <c r="I39" s="84">
        <f t="shared" si="27"/>
        <v>565395611</v>
      </c>
      <c r="J39" s="94">
        <f t="shared" si="22"/>
        <v>565395611</v>
      </c>
      <c r="K39" s="94">
        <f t="shared" si="9"/>
        <v>0</v>
      </c>
      <c r="L39" s="84">
        <f t="shared" si="29"/>
        <v>1698186091</v>
      </c>
      <c r="M39" s="102">
        <f t="shared" si="28"/>
        <v>1698186091</v>
      </c>
      <c r="N39" s="102">
        <f t="shared" si="1"/>
        <v>0</v>
      </c>
      <c r="O39" s="14"/>
      <c r="P39" s="91">
        <f t="shared" si="23"/>
        <v>7586028156</v>
      </c>
      <c r="Q39" s="15"/>
      <c r="R39" s="86">
        <f t="shared" si="24"/>
        <v>198186091</v>
      </c>
      <c r="S39" s="86">
        <f t="shared" si="2"/>
        <v>700000000</v>
      </c>
      <c r="T39" s="84">
        <f t="shared" si="25"/>
        <v>0</v>
      </c>
      <c r="U39" s="91">
        <f t="shared" si="3"/>
        <v>0</v>
      </c>
      <c r="V39" s="2"/>
      <c r="W39" s="46"/>
      <c r="X39" s="181"/>
      <c r="Y39" s="181"/>
      <c r="Z39" s="181"/>
      <c r="AA39" s="182"/>
      <c r="AB39" s="47"/>
      <c r="AD39" s="4"/>
      <c r="AE39" s="1"/>
      <c r="AF39" s="46"/>
      <c r="AG39" s="181"/>
      <c r="AH39" s="181"/>
      <c r="AI39" s="181"/>
      <c r="AJ39" s="182"/>
      <c r="AK39" s="47"/>
      <c r="AL39" s="4"/>
      <c r="AM39" s="4"/>
      <c r="AN39" s="1"/>
      <c r="AO39" s="1"/>
    </row>
    <row r="40" spans="2:41" ht="30.75" customHeight="1" thickBot="1" x14ac:dyDescent="0.25">
      <c r="B40" s="144" t="s">
        <v>42</v>
      </c>
      <c r="C40" s="157">
        <v>9934004712</v>
      </c>
      <c r="D40" s="157">
        <v>800000000</v>
      </c>
      <c r="E40" s="78"/>
      <c r="F40" s="83">
        <f t="shared" si="26"/>
        <v>84394854</v>
      </c>
      <c r="G40" s="94">
        <f t="shared" si="21"/>
        <v>84394854</v>
      </c>
      <c r="H40" s="94">
        <f t="shared" si="6"/>
        <v>0</v>
      </c>
      <c r="I40" s="84">
        <f t="shared" si="27"/>
        <v>565395611</v>
      </c>
      <c r="J40" s="94">
        <f t="shared" si="22"/>
        <v>565395611</v>
      </c>
      <c r="K40" s="94">
        <f t="shared" si="9"/>
        <v>0</v>
      </c>
      <c r="L40" s="84">
        <f t="shared" si="29"/>
        <v>1698186091</v>
      </c>
      <c r="M40" s="102">
        <f t="shared" si="28"/>
        <v>1698186091</v>
      </c>
      <c r="N40" s="102">
        <f t="shared" si="1"/>
        <v>0</v>
      </c>
      <c r="O40" s="14"/>
      <c r="P40" s="91">
        <f t="shared" si="23"/>
        <v>7586028156</v>
      </c>
      <c r="Q40" s="15"/>
      <c r="R40" s="86">
        <f t="shared" si="24"/>
        <v>198186091</v>
      </c>
      <c r="S40" s="86">
        <f t="shared" si="2"/>
        <v>700000000</v>
      </c>
      <c r="T40" s="84">
        <f t="shared" si="25"/>
        <v>0</v>
      </c>
      <c r="U40" s="91">
        <f t="shared" si="3"/>
        <v>0</v>
      </c>
      <c r="V40" s="2"/>
      <c r="W40" s="76"/>
      <c r="X40" s="53"/>
      <c r="Y40" s="53"/>
      <c r="Z40" s="53"/>
      <c r="AA40" s="53"/>
      <c r="AB40" s="73"/>
      <c r="AD40" s="4"/>
      <c r="AE40" s="1"/>
      <c r="AF40" s="76"/>
      <c r="AG40" s="53"/>
      <c r="AH40" s="53"/>
      <c r="AI40" s="53"/>
      <c r="AJ40" s="53"/>
      <c r="AK40" s="73"/>
      <c r="AL40" s="4"/>
      <c r="AM40" s="4"/>
      <c r="AN40" s="1"/>
      <c r="AO40" s="1"/>
    </row>
    <row r="41" spans="2:41" ht="30.75" customHeight="1" x14ac:dyDescent="0.2">
      <c r="B41" s="144" t="s">
        <v>43</v>
      </c>
      <c r="C41" s="157">
        <v>9934004712</v>
      </c>
      <c r="D41" s="157">
        <v>800000000</v>
      </c>
      <c r="E41" s="78"/>
      <c r="F41" s="83">
        <f t="shared" si="26"/>
        <v>84394854</v>
      </c>
      <c r="G41" s="94">
        <f t="shared" si="21"/>
        <v>84394854</v>
      </c>
      <c r="H41" s="94">
        <f t="shared" si="6"/>
        <v>0</v>
      </c>
      <c r="I41" s="84">
        <f t="shared" si="27"/>
        <v>565395611</v>
      </c>
      <c r="J41" s="94">
        <f t="shared" si="22"/>
        <v>565395611</v>
      </c>
      <c r="K41" s="94">
        <f t="shared" si="9"/>
        <v>0</v>
      </c>
      <c r="L41" s="84">
        <f t="shared" si="29"/>
        <v>1698186091</v>
      </c>
      <c r="M41" s="102">
        <f t="shared" si="28"/>
        <v>1698186091</v>
      </c>
      <c r="N41" s="102">
        <f t="shared" si="1"/>
        <v>0</v>
      </c>
      <c r="O41" s="14"/>
      <c r="P41" s="91">
        <f t="shared" si="23"/>
        <v>7586028156</v>
      </c>
      <c r="Q41" s="15"/>
      <c r="R41" s="86">
        <f t="shared" si="24"/>
        <v>198186091</v>
      </c>
      <c r="S41" s="86">
        <f t="shared" si="2"/>
        <v>700000000</v>
      </c>
      <c r="T41" s="84">
        <f t="shared" si="25"/>
        <v>0</v>
      </c>
      <c r="U41" s="91">
        <f t="shared" si="3"/>
        <v>0</v>
      </c>
      <c r="V41" s="2"/>
      <c r="W41" s="8"/>
      <c r="X41" s="8"/>
      <c r="Y41" s="8"/>
      <c r="Z41" s="8"/>
      <c r="AA41" s="8"/>
      <c r="AB41" s="4"/>
      <c r="AD41" s="4"/>
      <c r="AE41" s="1"/>
      <c r="AF41" s="150"/>
      <c r="AG41" s="150"/>
      <c r="AH41" s="150"/>
      <c r="AI41" s="150"/>
      <c r="AJ41" s="150"/>
      <c r="AK41" s="151"/>
      <c r="AL41" s="4"/>
      <c r="AM41" s="4"/>
      <c r="AN41" s="1"/>
      <c r="AO41" s="1"/>
    </row>
    <row r="42" spans="2:41" ht="30.75" customHeight="1" x14ac:dyDescent="0.2">
      <c r="B42" s="144" t="s">
        <v>44</v>
      </c>
      <c r="C42" s="157">
        <v>10934004712</v>
      </c>
      <c r="D42" s="157">
        <v>800000000</v>
      </c>
      <c r="E42" s="78"/>
      <c r="F42" s="83">
        <f t="shared" si="26"/>
        <v>84394854</v>
      </c>
      <c r="G42" s="94">
        <f t="shared" si="21"/>
        <v>84394854</v>
      </c>
      <c r="H42" s="94">
        <f t="shared" si="6"/>
        <v>0</v>
      </c>
      <c r="I42" s="84">
        <f t="shared" si="27"/>
        <v>565395611</v>
      </c>
      <c r="J42" s="94">
        <f t="shared" si="22"/>
        <v>565395611</v>
      </c>
      <c r="K42" s="94">
        <f t="shared" si="9"/>
        <v>0</v>
      </c>
      <c r="L42" s="84">
        <f>IF(C42="","",R42+D42+S42+T42-U42)</f>
        <v>1698186091</v>
      </c>
      <c r="M42" s="102">
        <f t="shared" si="28"/>
        <v>1698186091</v>
      </c>
      <c r="N42" s="102">
        <f t="shared" si="1"/>
        <v>0</v>
      </c>
      <c r="O42" s="14"/>
      <c r="P42" s="91">
        <f t="shared" si="23"/>
        <v>8586028156</v>
      </c>
      <c r="Q42" s="15"/>
      <c r="R42" s="86">
        <f t="shared" si="24"/>
        <v>198186091</v>
      </c>
      <c r="S42" s="86">
        <f t="shared" si="2"/>
        <v>700000000</v>
      </c>
      <c r="T42" s="84">
        <f t="shared" si="25"/>
        <v>0</v>
      </c>
      <c r="U42" s="91">
        <f t="shared" si="3"/>
        <v>0</v>
      </c>
      <c r="V42" s="2"/>
      <c r="W42" s="8"/>
      <c r="X42" s="8"/>
      <c r="Y42" s="8"/>
      <c r="Z42" s="8"/>
      <c r="AA42" s="8"/>
      <c r="AB42" s="4"/>
      <c r="AD42" s="4"/>
      <c r="AE42" s="1"/>
      <c r="AF42" s="8"/>
      <c r="AG42" s="8"/>
      <c r="AH42" s="8"/>
      <c r="AI42" s="8"/>
      <c r="AJ42" s="8"/>
      <c r="AK42" s="4"/>
      <c r="AL42" s="4"/>
      <c r="AM42" s="4"/>
      <c r="AN42" s="1"/>
      <c r="AO42" s="1"/>
    </row>
    <row r="43" spans="2:41" ht="30.75" customHeight="1" x14ac:dyDescent="0.2">
      <c r="B43" s="144" t="s">
        <v>45</v>
      </c>
      <c r="C43" s="157">
        <v>10934004712</v>
      </c>
      <c r="D43" s="157">
        <v>800000000</v>
      </c>
      <c r="E43" s="78"/>
      <c r="F43" s="83">
        <f t="shared" si="26"/>
        <v>84394854</v>
      </c>
      <c r="G43" s="94">
        <f t="shared" si="21"/>
        <v>84394854</v>
      </c>
      <c r="H43" s="94">
        <f t="shared" si="6"/>
        <v>0</v>
      </c>
      <c r="I43" s="84">
        <f t="shared" si="27"/>
        <v>565395611</v>
      </c>
      <c r="J43" s="94">
        <f t="shared" si="22"/>
        <v>565395611</v>
      </c>
      <c r="K43" s="94">
        <f t="shared" si="9"/>
        <v>0</v>
      </c>
      <c r="L43" s="84">
        <f t="shared" si="29"/>
        <v>1698186091</v>
      </c>
      <c r="M43" s="102">
        <f>MAX(MIN(C43-G43-J43,R43+D43+S43+T43-U43),0)</f>
        <v>1698186091</v>
      </c>
      <c r="N43" s="102">
        <f t="shared" si="1"/>
        <v>0</v>
      </c>
      <c r="O43" s="14"/>
      <c r="P43" s="91">
        <f t="shared" si="23"/>
        <v>8586028156</v>
      </c>
      <c r="Q43" s="15"/>
      <c r="R43" s="86">
        <f t="shared" si="24"/>
        <v>198186091</v>
      </c>
      <c r="S43" s="86">
        <f t="shared" si="2"/>
        <v>700000000</v>
      </c>
      <c r="T43" s="84">
        <f t="shared" si="25"/>
        <v>0</v>
      </c>
      <c r="U43" s="91">
        <f t="shared" si="3"/>
        <v>0</v>
      </c>
      <c r="V43" s="2"/>
      <c r="W43" s="8"/>
      <c r="X43" s="8"/>
      <c r="Y43" s="8"/>
      <c r="Z43" s="8"/>
      <c r="AA43" s="8"/>
      <c r="AB43" s="4"/>
      <c r="AD43" s="4"/>
      <c r="AE43" s="1"/>
      <c r="AF43" s="8"/>
      <c r="AG43" s="8"/>
      <c r="AH43" s="8"/>
      <c r="AI43" s="8"/>
      <c r="AJ43" s="8"/>
      <c r="AK43" s="4"/>
      <c r="AL43" s="4"/>
      <c r="AM43" s="4"/>
      <c r="AN43" s="1"/>
      <c r="AO43" s="1"/>
    </row>
    <row r="44" spans="2:41" ht="30.75" customHeight="1" x14ac:dyDescent="0.2">
      <c r="B44" s="144" t="s">
        <v>46</v>
      </c>
      <c r="C44" s="157">
        <v>10934004712</v>
      </c>
      <c r="D44" s="157">
        <v>800000000</v>
      </c>
      <c r="E44" s="78"/>
      <c r="F44" s="83">
        <f t="shared" si="26"/>
        <v>84394854</v>
      </c>
      <c r="G44" s="94">
        <f t="shared" si="21"/>
        <v>84394854</v>
      </c>
      <c r="H44" s="94">
        <f t="shared" si="6"/>
        <v>0</v>
      </c>
      <c r="I44" s="84">
        <f t="shared" si="27"/>
        <v>565395611</v>
      </c>
      <c r="J44" s="94">
        <f t="shared" si="22"/>
        <v>565395611</v>
      </c>
      <c r="K44" s="94">
        <f>I44-J44</f>
        <v>0</v>
      </c>
      <c r="L44" s="84">
        <f>IF(C44="","",R44+D44+S44+T44-U44)</f>
        <v>1698186091</v>
      </c>
      <c r="M44" s="102">
        <f t="shared" si="28"/>
        <v>1698186091</v>
      </c>
      <c r="N44" s="102">
        <f t="shared" si="1"/>
        <v>0</v>
      </c>
      <c r="O44" s="14"/>
      <c r="P44" s="91">
        <f t="shared" si="23"/>
        <v>8586028156</v>
      </c>
      <c r="Q44" s="15"/>
      <c r="R44" s="86">
        <f t="shared" si="24"/>
        <v>198186091</v>
      </c>
      <c r="S44" s="86">
        <f t="shared" si="2"/>
        <v>700000000</v>
      </c>
      <c r="T44" s="84">
        <f t="shared" si="25"/>
        <v>0</v>
      </c>
      <c r="U44" s="91">
        <f t="shared" si="3"/>
        <v>0</v>
      </c>
      <c r="V44" s="2"/>
      <c r="AC44" s="9"/>
      <c r="AD44" s="9"/>
      <c r="AE44" s="1"/>
      <c r="AF44" s="1"/>
      <c r="AL44" s="9"/>
      <c r="AM44" s="9"/>
      <c r="AN44" s="1"/>
      <c r="AO44" s="1"/>
    </row>
    <row r="45" spans="2:41" ht="30.75" customHeight="1" x14ac:dyDescent="0.2">
      <c r="B45" s="144" t="s">
        <v>47</v>
      </c>
      <c r="C45" s="157">
        <v>10934004712</v>
      </c>
      <c r="D45" s="157">
        <v>800000000</v>
      </c>
      <c r="E45" s="78"/>
      <c r="F45" s="83">
        <f t="shared" si="26"/>
        <v>84394854</v>
      </c>
      <c r="G45" s="94">
        <f t="shared" si="21"/>
        <v>84394854</v>
      </c>
      <c r="H45" s="94">
        <f t="shared" si="6"/>
        <v>0</v>
      </c>
      <c r="I45" s="84">
        <f t="shared" si="27"/>
        <v>565395611</v>
      </c>
      <c r="J45" s="94">
        <f>MAX(MIN(C45-G45,ROUNDDOWN($P$3/365,0)-G45),0)</f>
        <v>565395611</v>
      </c>
      <c r="K45" s="94">
        <f t="shared" si="9"/>
        <v>0</v>
      </c>
      <c r="L45" s="84">
        <f t="shared" si="29"/>
        <v>1698186091</v>
      </c>
      <c r="M45" s="102">
        <f t="shared" si="28"/>
        <v>1698186091</v>
      </c>
      <c r="N45" s="102">
        <f t="shared" si="1"/>
        <v>0</v>
      </c>
      <c r="O45" s="14"/>
      <c r="P45" s="91">
        <f t="shared" si="23"/>
        <v>8586028156</v>
      </c>
      <c r="Q45" s="15"/>
      <c r="R45" s="86">
        <f t="shared" si="24"/>
        <v>198186091</v>
      </c>
      <c r="S45" s="86">
        <f t="shared" si="2"/>
        <v>700000000</v>
      </c>
      <c r="T45" s="84">
        <f t="shared" si="25"/>
        <v>0</v>
      </c>
      <c r="U45" s="91">
        <f t="shared" si="3"/>
        <v>0</v>
      </c>
      <c r="V45" s="2"/>
      <c r="AC45" s="9"/>
      <c r="AD45" s="9"/>
      <c r="AE45" s="1"/>
      <c r="AF45" s="1"/>
      <c r="AL45" s="9"/>
      <c r="AM45" s="9"/>
      <c r="AN45" s="1"/>
      <c r="AO45" s="1"/>
    </row>
    <row r="46" spans="2:41" ht="30.75" customHeight="1" thickBot="1" x14ac:dyDescent="0.25">
      <c r="B46" s="145" t="s">
        <v>48</v>
      </c>
      <c r="C46" s="169">
        <v>10754004719</v>
      </c>
      <c r="D46" s="169">
        <v>800000000</v>
      </c>
      <c r="E46" s="81"/>
      <c r="F46" s="83">
        <f>IF(C46="","",$D$4)</f>
        <v>84394854</v>
      </c>
      <c r="G46" s="94">
        <f t="shared" si="21"/>
        <v>84394854</v>
      </c>
      <c r="H46" s="94">
        <f t="shared" si="6"/>
        <v>0</v>
      </c>
      <c r="I46" s="84">
        <f>IF(C46="","",MAX(ROUNDDOWN($P$3/365,0)-$D$4,0))</f>
        <v>565395611</v>
      </c>
      <c r="J46" s="94">
        <f t="shared" si="22"/>
        <v>565395611</v>
      </c>
      <c r="K46" s="94">
        <f t="shared" si="9"/>
        <v>0</v>
      </c>
      <c r="L46" s="84">
        <f t="shared" si="29"/>
        <v>1698186091</v>
      </c>
      <c r="M46" s="102">
        <f>MAX(MIN(C46-G46-J46,R46+D46+S46+T46-U46),0)</f>
        <v>1698186091</v>
      </c>
      <c r="N46" s="102">
        <f t="shared" si="1"/>
        <v>0</v>
      </c>
      <c r="O46" s="14"/>
      <c r="P46" s="91">
        <f t="shared" si="23"/>
        <v>8406028163</v>
      </c>
      <c r="Q46" s="15"/>
      <c r="R46" s="86">
        <f t="shared" si="24"/>
        <v>198186091</v>
      </c>
      <c r="S46" s="86">
        <f t="shared" si="2"/>
        <v>700000000</v>
      </c>
      <c r="T46" s="84">
        <f t="shared" si="25"/>
        <v>0</v>
      </c>
      <c r="U46" s="91">
        <f t="shared" si="3"/>
        <v>0</v>
      </c>
      <c r="V46" s="2"/>
      <c r="AC46" s="9"/>
      <c r="AD46" s="9"/>
      <c r="AE46" s="1"/>
      <c r="AF46" s="1"/>
      <c r="AL46" s="9"/>
      <c r="AM46" s="9"/>
      <c r="AN46" s="1"/>
      <c r="AO46" s="1"/>
    </row>
    <row r="47" spans="2:41" ht="24" customHeight="1" thickBot="1" x14ac:dyDescent="0.25">
      <c r="B47" s="68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2"/>
      <c r="Q47" s="16"/>
      <c r="R47" s="7"/>
      <c r="S47" s="7"/>
      <c r="T47" s="7"/>
      <c r="U47" s="92"/>
      <c r="V47" s="2"/>
      <c r="AC47" s="9"/>
      <c r="AD47" s="9"/>
      <c r="AE47" s="1"/>
      <c r="AF47" s="1"/>
      <c r="AL47" s="9"/>
      <c r="AM47" s="9"/>
      <c r="AN47" s="1"/>
      <c r="AO47" s="1"/>
    </row>
    <row r="48" spans="2:41" ht="30" customHeight="1" thickBot="1" x14ac:dyDescent="0.25">
      <c r="B48" s="69" t="s">
        <v>8</v>
      </c>
      <c r="C48" s="89">
        <f>SUM(C16:C46)</f>
        <v>304954146079</v>
      </c>
      <c r="D48" s="89">
        <f>SUM(D16:D46)</f>
        <v>18600000000</v>
      </c>
      <c r="E48" s="89">
        <f>SUM(E16:E46)</f>
        <v>0</v>
      </c>
      <c r="F48" s="84">
        <f>SUM(F16:F46)</f>
        <v>2616240474</v>
      </c>
      <c r="G48" s="102">
        <f>MIN(C48,$D$4*$D$3)</f>
        <v>2616240474</v>
      </c>
      <c r="H48" s="103">
        <f>F48-G48</f>
        <v>0</v>
      </c>
      <c r="I48" s="96">
        <f>SUM(I16:I46)</f>
        <v>17527263941</v>
      </c>
      <c r="J48" s="101">
        <f>MAX(MIN(C48-G48,INT(P3*D3/365)-G48),0)</f>
        <v>17527263953</v>
      </c>
      <c r="K48" s="98">
        <f>I48-J48</f>
        <v>-12</v>
      </c>
      <c r="L48" s="96">
        <f>SUM(L16:L46)</f>
        <v>40243768821</v>
      </c>
      <c r="M48" s="97">
        <f>MAX(MIN(C48-G48-J48,M52-IF(AA4="○",INT(M52*25/100),0)-AA6))</f>
        <v>40243768850</v>
      </c>
      <c r="N48" s="98">
        <f>L48-M48</f>
        <v>-29</v>
      </c>
      <c r="O48" s="17"/>
      <c r="P48" s="93">
        <f>SUM(P16:P46)</f>
        <v>244566872843</v>
      </c>
      <c r="Q48" s="16"/>
      <c r="R48" s="90">
        <f>SUM(R16:R46)</f>
        <v>6143768821</v>
      </c>
      <c r="S48" s="89">
        <f>SUM(S16:S46)</f>
        <v>15500000000</v>
      </c>
      <c r="T48" s="89">
        <f>SUM(T16:T46)</f>
        <v>0</v>
      </c>
      <c r="U48" s="93">
        <f>SUM(U16:U46)</f>
        <v>0</v>
      </c>
      <c r="V48" s="2"/>
      <c r="AC48" s="9"/>
      <c r="AD48" s="9"/>
      <c r="AE48" s="1"/>
      <c r="AF48" s="1"/>
      <c r="AL48" s="9"/>
      <c r="AM48" s="9"/>
      <c r="AN48" s="1"/>
      <c r="AO48" s="1"/>
    </row>
    <row r="49" spans="3:41" ht="29.25" customHeight="1" x14ac:dyDescent="0.2">
      <c r="D49" s="3"/>
      <c r="E49" s="3"/>
      <c r="F49" s="3"/>
      <c r="G49" s="95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  <c r="AC49" s="9"/>
      <c r="AD49" s="9"/>
      <c r="AE49" s="1"/>
      <c r="AF49" s="1"/>
      <c r="AL49" s="9"/>
      <c r="AM49" s="9"/>
      <c r="AN49" s="1"/>
      <c r="AO49" s="1"/>
    </row>
    <row r="50" spans="3:41" ht="21.9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41" ht="21.9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117" t="s">
        <v>82</v>
      </c>
      <c r="N51" s="3"/>
      <c r="O51" s="3"/>
      <c r="P51" s="3"/>
      <c r="Q51" s="3"/>
      <c r="R51" s="3"/>
      <c r="S51" s="3"/>
      <c r="T51" s="3"/>
      <c r="U51" s="3"/>
      <c r="AB51" s="1"/>
      <c r="AC51" s="8"/>
      <c r="AE51" s="1"/>
      <c r="AF51" s="1"/>
      <c r="AN51" s="1"/>
      <c r="AO51" s="1"/>
    </row>
    <row r="52" spans="3:41" ht="21.9" customHeight="1" x14ac:dyDescent="0.2">
      <c r="M52" s="118">
        <f>INT(INT(P3*D3/365)*D5/100)+IFERROR(INT(INT(T8*D3/T9)*D5/100),0)+D48+INT(MAX(D48-E48-P4*D3,0)*D6/100)+T4+T6*D3</f>
        <v>40243768850</v>
      </c>
      <c r="AB52" s="1"/>
      <c r="AC52" s="8"/>
      <c r="AE52" s="1"/>
      <c r="AF52" s="1"/>
      <c r="AN52" s="1"/>
      <c r="AO52" s="1"/>
    </row>
    <row r="53" spans="3:41" ht="21.9" customHeight="1" x14ac:dyDescent="0.2">
      <c r="AB53" s="1"/>
      <c r="AC53" s="8"/>
      <c r="AE53" s="1"/>
      <c r="AF53" s="1"/>
      <c r="AN53" s="1"/>
      <c r="AO53" s="1"/>
    </row>
    <row r="54" spans="3:41" ht="21.9" customHeight="1" x14ac:dyDescent="0.2">
      <c r="AB54" s="1"/>
      <c r="AC54" s="8"/>
      <c r="AE54" s="1"/>
      <c r="AF54" s="1"/>
      <c r="AN54" s="1"/>
      <c r="AO54" s="1"/>
    </row>
    <row r="55" spans="3:41" ht="21.9" customHeight="1" x14ac:dyDescent="0.2">
      <c r="AB55" s="1"/>
      <c r="AC55" s="8"/>
      <c r="AE55" s="1"/>
      <c r="AF55" s="1"/>
      <c r="AN55" s="1"/>
      <c r="AO55" s="1"/>
    </row>
    <row r="56" spans="3:41" ht="21.9" customHeight="1" x14ac:dyDescent="0.2">
      <c r="AB56" s="1"/>
      <c r="AC56" s="8"/>
      <c r="AE56" s="1"/>
      <c r="AF56" s="1"/>
      <c r="AN56" s="1"/>
      <c r="AO56" s="1"/>
    </row>
    <row r="57" spans="3:41" ht="21.9" customHeight="1" x14ac:dyDescent="0.2">
      <c r="AB57" s="1"/>
      <c r="AC57" s="8"/>
      <c r="AE57" s="1"/>
      <c r="AF57" s="1"/>
      <c r="AN57" s="1"/>
      <c r="AO57" s="1"/>
    </row>
    <row r="58" spans="3:41" ht="21.9" customHeight="1" x14ac:dyDescent="0.2">
      <c r="AB58" s="1"/>
      <c r="AC58" s="8"/>
      <c r="AE58" s="1"/>
      <c r="AF58" s="1"/>
      <c r="AN58" s="1"/>
      <c r="AO58" s="1"/>
    </row>
    <row r="59" spans="3:41" ht="21.9" customHeight="1" x14ac:dyDescent="0.2">
      <c r="AB59" s="1"/>
      <c r="AC59" s="8"/>
      <c r="AE59" s="1"/>
      <c r="AF59" s="1"/>
      <c r="AN59" s="1"/>
      <c r="AO59" s="1"/>
    </row>
  </sheetData>
  <sheetProtection algorithmName="SHA-512" hashValue="2FHYfoxLghSDxZPSR9IWzCAxXZ1/p0qsMgl+UU3jLX1dffvNX3x46xNBNDD1daL6NG0oyqJAuYDzFeIlfASZww==" saltValue="KD4xZpMti1z9z22bpoxsWw==" spinCount="100000" sheet="1" objects="1" scenarios="1"/>
  <mergeCells count="90">
    <mergeCell ref="X38:Z39"/>
    <mergeCell ref="AA38:AA39"/>
    <mergeCell ref="X32:Y34"/>
    <mergeCell ref="Z32:Z33"/>
    <mergeCell ref="AA32:AA33"/>
    <mergeCell ref="X35:Y37"/>
    <mergeCell ref="Z35:Z36"/>
    <mergeCell ref="AA35:AA36"/>
    <mergeCell ref="Y22:Z23"/>
    <mergeCell ref="AA22:AA23"/>
    <mergeCell ref="X27:AA28"/>
    <mergeCell ref="X29:Y31"/>
    <mergeCell ref="Z29:Z30"/>
    <mergeCell ref="AA29:AA30"/>
    <mergeCell ref="Y20:Z21"/>
    <mergeCell ref="AA20:AA21"/>
    <mergeCell ref="N14:N15"/>
    <mergeCell ref="R14:R15"/>
    <mergeCell ref="S14:S15"/>
    <mergeCell ref="T14:T15"/>
    <mergeCell ref="U14:U15"/>
    <mergeCell ref="X14:Z15"/>
    <mergeCell ref="AA14:AA15"/>
    <mergeCell ref="Y16:Z17"/>
    <mergeCell ref="AA16:AA17"/>
    <mergeCell ref="Y18:Z19"/>
    <mergeCell ref="AA18:AA19"/>
    <mergeCell ref="M14:M15"/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E14:E15"/>
    <mergeCell ref="G14:G15"/>
    <mergeCell ref="H14:H15"/>
    <mergeCell ref="J14:J15"/>
    <mergeCell ref="K14:K15"/>
    <mergeCell ref="X11:AA11"/>
    <mergeCell ref="AG11:AJ11"/>
    <mergeCell ref="AG12:AJ13"/>
    <mergeCell ref="AG14:AI15"/>
    <mergeCell ref="AJ14:AJ15"/>
    <mergeCell ref="AM16:AM17"/>
    <mergeCell ref="AC18:AC19"/>
    <mergeCell ref="AD18:AD19"/>
    <mergeCell ref="AH18:AI19"/>
    <mergeCell ref="AJ18:AJ19"/>
    <mergeCell ref="AL18:AL19"/>
    <mergeCell ref="AM18:AM19"/>
    <mergeCell ref="AC16:AC17"/>
    <mergeCell ref="AD16:AD17"/>
    <mergeCell ref="AH16:AI17"/>
    <mergeCell ref="AJ16:AJ17"/>
    <mergeCell ref="AL16:AL17"/>
    <mergeCell ref="AM20:AM21"/>
    <mergeCell ref="AC22:AC23"/>
    <mergeCell ref="AD22:AD23"/>
    <mergeCell ref="AH22:AI23"/>
    <mergeCell ref="AJ22:AJ23"/>
    <mergeCell ref="AL22:AL23"/>
    <mergeCell ref="AM22:AM23"/>
    <mergeCell ref="AC20:AC21"/>
    <mergeCell ref="AD20:AD21"/>
    <mergeCell ref="AH20:AI21"/>
    <mergeCell ref="AJ20:AJ21"/>
    <mergeCell ref="AL20:AL21"/>
    <mergeCell ref="AC24:AC25"/>
    <mergeCell ref="AD24:AD25"/>
    <mergeCell ref="AL24:AL25"/>
    <mergeCell ref="AM24:AM25"/>
    <mergeCell ref="AO24:AO25"/>
    <mergeCell ref="AP24:AP25"/>
    <mergeCell ref="AG27:AJ28"/>
    <mergeCell ref="AG29:AH31"/>
    <mergeCell ref="AI29:AI30"/>
    <mergeCell ref="AJ29:AJ30"/>
    <mergeCell ref="AG38:AI39"/>
    <mergeCell ref="AJ38:AJ39"/>
    <mergeCell ref="AG32:AH34"/>
    <mergeCell ref="AI32:AI33"/>
    <mergeCell ref="AJ32:AJ33"/>
    <mergeCell ref="AG35:AH37"/>
    <mergeCell ref="AI35:AI36"/>
    <mergeCell ref="AJ35:AJ36"/>
  </mergeCells>
  <phoneticPr fontId="2"/>
  <dataValidations count="5">
    <dataValidation type="custom" allowBlank="1" showInputMessage="1" showErrorMessage="1" sqref="D5:D6">
      <formula1>AND(0&lt;=D5,D5&lt;=100,ROUNDDOWN(D5,1)=D5)</formula1>
    </dataValidation>
    <dataValidation type="whole" allowBlank="1" showInputMessage="1" showErrorMessage="1" sqref="T9">
      <formula1>1</formula1>
      <formula2>366</formula2>
    </dataValidation>
    <dataValidation type="whole" allowBlank="1" showInputMessage="1" showErrorMessage="1" sqref="T10 D3">
      <formula1>1</formula1>
      <formula2>31</formula2>
    </dataValidation>
    <dataValidation type="whole" operator="greaterThanOrEqual" allowBlank="1" showInputMessage="1" showErrorMessage="1" sqref="C16:E46 P3:P4 AA6 T4 T6 T8 D4">
      <formula1>0</formula1>
    </dataValidation>
    <dataValidation type="list" allowBlank="1" showInputMessage="1" showErrorMessage="1" sqref="AA4">
      <formula1>"○"</formula1>
    </dataValidation>
  </dataValidations>
  <pageMargins left="0.19685039370078741" right="0.23622047244094491" top="0.15748031496062992" bottom="0.19685039370078741" header="0.31496062992125984" footer="0.19685039370078741"/>
  <pageSetup paperSize="8" scale="44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  <pageSetUpPr fitToPage="1"/>
  </sheetPr>
  <dimension ref="A1:AQ59"/>
  <sheetViews>
    <sheetView view="pageBreakPreview" zoomScale="40" zoomScaleNormal="90" zoomScaleSheetLayoutView="40" workbookViewId="0">
      <selection sqref="A1:AB1"/>
    </sheetView>
  </sheetViews>
  <sheetFormatPr defaultColWidth="9" defaultRowHeight="21.9" customHeight="1" x14ac:dyDescent="0.2"/>
  <cols>
    <col min="1" max="1" width="1.4140625" style="1" customWidth="1"/>
    <col min="2" max="2" width="8" style="1" customWidth="1"/>
    <col min="3" max="3" width="23.4140625" style="1" customWidth="1"/>
    <col min="4" max="4" width="23.6640625" style="1" customWidth="1"/>
    <col min="5" max="5" width="23.6640625" style="1" hidden="1" customWidth="1"/>
    <col min="6" max="6" width="29.6640625" style="1" customWidth="1"/>
    <col min="7" max="8" width="17.6640625" style="1" hidden="1" customWidth="1"/>
    <col min="9" max="9" width="29.6640625" style="1" customWidth="1"/>
    <col min="10" max="10" width="17.33203125" style="1" hidden="1" customWidth="1"/>
    <col min="11" max="11" width="17.6640625" style="1" hidden="1" customWidth="1"/>
    <col min="12" max="12" width="29.6640625" style="1" customWidth="1"/>
    <col min="13" max="14" width="17.33203125" style="1" hidden="1" customWidth="1"/>
    <col min="15" max="15" width="3.6640625" style="4" customWidth="1"/>
    <col min="16" max="16" width="27.08203125" style="1" customWidth="1"/>
    <col min="17" max="17" width="3.6640625" style="4" customWidth="1"/>
    <col min="18" max="21" width="27.08203125" style="1" customWidth="1"/>
    <col min="22" max="22" width="4.08203125" style="1" customWidth="1"/>
    <col min="23" max="23" width="3.25" style="1" customWidth="1"/>
    <col min="24" max="24" width="2" style="1" customWidth="1"/>
    <col min="25" max="25" width="13.25" style="1" customWidth="1"/>
    <col min="26" max="26" width="30.33203125" style="1" customWidth="1"/>
    <col min="27" max="27" width="27.9140625" style="1" customWidth="1"/>
    <col min="28" max="28" width="3.25" style="9" customWidth="1"/>
    <col min="29" max="29" width="16.9140625" style="4" hidden="1" customWidth="1"/>
    <col min="30" max="30" width="30.08203125" style="1" hidden="1" customWidth="1"/>
    <col min="31" max="31" width="4.4140625" style="9" customWidth="1"/>
    <col min="32" max="32" width="3.25" style="9" customWidth="1"/>
    <col min="33" max="33" width="2" style="1" customWidth="1"/>
    <col min="34" max="34" width="13.25" style="1" customWidth="1"/>
    <col min="35" max="35" width="30.33203125" style="1" customWidth="1"/>
    <col min="36" max="36" width="27.9140625" style="1" customWidth="1"/>
    <col min="37" max="37" width="3.25" style="1" customWidth="1"/>
    <col min="38" max="38" width="16.9140625" style="1" hidden="1" customWidth="1"/>
    <col min="39" max="39" width="30.08203125" style="1" hidden="1" customWidth="1"/>
    <col min="40" max="40" width="9.08203125" style="9" hidden="1" customWidth="1"/>
    <col min="41" max="41" width="16.9140625" style="9" hidden="1" customWidth="1"/>
    <col min="42" max="42" width="30.08203125" style="1" hidden="1" customWidth="1"/>
    <col min="43" max="43" width="10.6640625" style="1" hidden="1" customWidth="1"/>
    <col min="44" max="44" width="4.75" style="1" customWidth="1"/>
    <col min="45" max="16384" width="9" style="1"/>
  </cols>
  <sheetData>
    <row r="1" spans="1:41" s="30" customFormat="1" ht="60" customHeight="1" x14ac:dyDescent="0.2">
      <c r="A1" s="227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146"/>
      <c r="AE1" s="119"/>
      <c r="AF1" s="119"/>
      <c r="AN1" s="119"/>
      <c r="AO1" s="119"/>
    </row>
    <row r="2" spans="1:41" s="30" customFormat="1" ht="33" thickBot="1" x14ac:dyDescent="0.25">
      <c r="A2" s="34"/>
      <c r="B2" s="61" t="s">
        <v>83</v>
      </c>
      <c r="C2" s="58"/>
      <c r="D2" s="36"/>
      <c r="E2" s="36"/>
      <c r="F2" s="36"/>
      <c r="G2" s="34"/>
      <c r="H2" s="34"/>
      <c r="I2" s="62" t="s">
        <v>84</v>
      </c>
      <c r="J2" s="37"/>
      <c r="K2" s="37"/>
      <c r="L2" s="37"/>
      <c r="M2" s="37"/>
      <c r="N2" s="37"/>
      <c r="O2" s="37"/>
      <c r="P2" s="37"/>
      <c r="Q2" s="37"/>
      <c r="R2" s="63" t="s">
        <v>87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147"/>
      <c r="AD2" s="119"/>
      <c r="AE2" s="120"/>
      <c r="AF2" s="120"/>
      <c r="AN2" s="120"/>
      <c r="AO2" s="120"/>
    </row>
    <row r="3" spans="1:41" ht="20.5" thickBot="1" x14ac:dyDescent="0.25">
      <c r="B3" s="60" t="s">
        <v>14</v>
      </c>
      <c r="D3" s="77">
        <v>31</v>
      </c>
      <c r="E3" s="31" t="s">
        <v>0</v>
      </c>
      <c r="F3" s="31" t="s">
        <v>0</v>
      </c>
      <c r="I3" s="60" t="s">
        <v>85</v>
      </c>
      <c r="J3" s="99"/>
      <c r="K3" s="99"/>
      <c r="O3" s="56"/>
      <c r="P3" s="149"/>
      <c r="Q3" s="32" t="s">
        <v>6</v>
      </c>
      <c r="R3" s="65" t="s">
        <v>54</v>
      </c>
      <c r="S3" s="35"/>
      <c r="T3" s="38"/>
      <c r="V3" s="67" t="s">
        <v>71</v>
      </c>
      <c r="W3" s="67"/>
      <c r="X3" s="67"/>
      <c r="Y3" s="67"/>
      <c r="Z3" s="67"/>
      <c r="AD3" s="8"/>
    </row>
    <row r="4" spans="1:41" ht="20.5" thickBot="1" x14ac:dyDescent="0.25">
      <c r="B4" s="60" t="s">
        <v>15</v>
      </c>
      <c r="D4" s="78"/>
      <c r="E4" s="31" t="s">
        <v>6</v>
      </c>
      <c r="F4" s="31" t="s">
        <v>6</v>
      </c>
      <c r="I4" s="59" t="s">
        <v>86</v>
      </c>
      <c r="J4" s="99"/>
      <c r="K4" s="99"/>
      <c r="O4" s="56"/>
      <c r="P4" s="82"/>
      <c r="Q4" s="32" t="s">
        <v>6</v>
      </c>
      <c r="R4" s="66" t="s">
        <v>88</v>
      </c>
      <c r="S4" s="41"/>
      <c r="T4" s="85"/>
      <c r="U4" s="33" t="s">
        <v>6</v>
      </c>
      <c r="V4" s="66" t="s">
        <v>93</v>
      </c>
      <c r="W4" s="67"/>
      <c r="X4" s="67"/>
      <c r="Y4" s="67"/>
      <c r="Z4" s="67"/>
      <c r="AA4" s="88"/>
      <c r="AB4" s="33"/>
      <c r="AC4" s="32"/>
      <c r="AD4" s="4"/>
      <c r="AE4" s="1"/>
      <c r="AF4" s="1"/>
      <c r="AN4" s="1"/>
      <c r="AO4" s="1"/>
    </row>
    <row r="5" spans="1:41" ht="20.5" thickBot="1" x14ac:dyDescent="0.25">
      <c r="B5" s="60" t="s">
        <v>16</v>
      </c>
      <c r="D5" s="79"/>
      <c r="E5" s="31" t="s">
        <v>1</v>
      </c>
      <c r="F5" s="31" t="s">
        <v>1</v>
      </c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72</v>
      </c>
      <c r="W5" s="9"/>
      <c r="X5" s="9"/>
      <c r="Y5" s="9"/>
      <c r="Z5" s="9"/>
      <c r="AA5" s="9"/>
      <c r="AD5" s="4"/>
      <c r="AE5" s="1"/>
      <c r="AF5" s="1"/>
      <c r="AN5" s="1"/>
      <c r="AO5" s="1"/>
    </row>
    <row r="6" spans="1:41" ht="20.5" thickBot="1" x14ac:dyDescent="0.25">
      <c r="B6" s="64" t="s">
        <v>17</v>
      </c>
      <c r="D6" s="100"/>
      <c r="E6" s="31" t="s">
        <v>1</v>
      </c>
      <c r="F6" s="31" t="s">
        <v>1</v>
      </c>
      <c r="G6" s="26"/>
      <c r="H6" s="26"/>
      <c r="I6" s="27"/>
      <c r="J6" s="26"/>
      <c r="K6" s="26"/>
      <c r="L6" s="28"/>
      <c r="M6" s="26"/>
      <c r="N6" s="26"/>
      <c r="O6" s="11"/>
      <c r="R6" s="66" t="s">
        <v>89</v>
      </c>
      <c r="S6" s="41"/>
      <c r="T6" s="85"/>
      <c r="U6" s="33" t="s">
        <v>6</v>
      </c>
      <c r="V6" s="66" t="s">
        <v>94</v>
      </c>
      <c r="W6" s="67"/>
      <c r="X6" s="67"/>
      <c r="Y6" s="67"/>
      <c r="Z6" s="67"/>
      <c r="AA6" s="85"/>
      <c r="AB6" s="33" t="s">
        <v>6</v>
      </c>
      <c r="AC6" s="32"/>
      <c r="AD6" s="4"/>
      <c r="AE6" s="1"/>
      <c r="AF6" s="1"/>
      <c r="AN6" s="1"/>
      <c r="AO6" s="1"/>
    </row>
    <row r="7" spans="1:41" s="9" customFormat="1" ht="29.25" customHeight="1" thickBot="1" x14ac:dyDescent="0.25">
      <c r="B7" s="64"/>
      <c r="D7" s="55"/>
      <c r="E7" s="55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  <c r="AC7" s="4"/>
    </row>
    <row r="8" spans="1:41" s="9" customFormat="1" ht="29" customHeight="1" thickBot="1" x14ac:dyDescent="0.25">
      <c r="B8" s="64"/>
      <c r="D8" s="55"/>
      <c r="E8" s="55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90</v>
      </c>
      <c r="S8" s="67"/>
      <c r="T8" s="85"/>
      <c r="U8" s="33" t="s">
        <v>6</v>
      </c>
      <c r="AC8" s="4"/>
    </row>
    <row r="9" spans="1:41" s="9" customFormat="1" ht="29" customHeight="1" thickBot="1" x14ac:dyDescent="0.25">
      <c r="B9" s="64"/>
      <c r="D9" s="55"/>
      <c r="E9" s="55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91</v>
      </c>
      <c r="S9" s="67"/>
      <c r="T9" s="152"/>
      <c r="U9" s="33" t="s">
        <v>12</v>
      </c>
      <c r="AC9" s="4"/>
    </row>
    <row r="10" spans="1:41" s="9" customFormat="1" ht="0.5" customHeight="1" x14ac:dyDescent="0.2">
      <c r="B10" s="64"/>
      <c r="D10" s="55"/>
      <c r="E10" s="55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87"/>
      <c r="U10" s="33"/>
      <c r="AC10" s="4"/>
    </row>
    <row r="11" spans="1:41" s="9" customFormat="1" ht="29.25" customHeight="1" thickBot="1" x14ac:dyDescent="0.25">
      <c r="B11" s="64"/>
      <c r="D11" s="55"/>
      <c r="E11" s="55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X11" s="219" t="s">
        <v>95</v>
      </c>
      <c r="Y11" s="219"/>
      <c r="Z11" s="219"/>
      <c r="AA11" s="219"/>
      <c r="AB11" s="148"/>
      <c r="AG11" s="219" t="s">
        <v>96</v>
      </c>
      <c r="AH11" s="220"/>
      <c r="AI11" s="220"/>
      <c r="AJ11" s="220"/>
    </row>
    <row r="12" spans="1:41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228" t="s">
        <v>97</v>
      </c>
      <c r="Y12" s="228"/>
      <c r="Z12" s="228"/>
      <c r="AA12" s="228"/>
      <c r="AB12" s="45"/>
      <c r="AD12" s="4"/>
      <c r="AE12" s="1"/>
      <c r="AF12" s="44"/>
      <c r="AG12" s="186" t="s">
        <v>98</v>
      </c>
      <c r="AH12" s="186"/>
      <c r="AI12" s="186"/>
      <c r="AJ12" s="186"/>
      <c r="AK12" s="45"/>
      <c r="AL12" s="4"/>
      <c r="AM12" s="4"/>
      <c r="AN12" s="1"/>
      <c r="AO12" s="1"/>
    </row>
    <row r="13" spans="1:41" ht="29.25" customHeight="1" thickBot="1" x14ac:dyDescent="0.25">
      <c r="B13" s="230" t="s">
        <v>2</v>
      </c>
      <c r="C13" s="231" t="s">
        <v>70</v>
      </c>
      <c r="D13" s="234" t="s">
        <v>78</v>
      </c>
      <c r="E13" s="116" t="s">
        <v>80</v>
      </c>
      <c r="F13" s="234" t="s">
        <v>69</v>
      </c>
      <c r="G13" s="42"/>
      <c r="H13" s="43"/>
      <c r="I13" s="237" t="s">
        <v>68</v>
      </c>
      <c r="J13" s="42"/>
      <c r="K13" s="43"/>
      <c r="L13" s="240" t="s">
        <v>67</v>
      </c>
      <c r="M13" s="42"/>
      <c r="N13" s="43"/>
      <c r="O13" s="12"/>
      <c r="P13" s="240" t="s">
        <v>77</v>
      </c>
      <c r="Q13" s="6"/>
      <c r="R13" s="242" t="s">
        <v>76</v>
      </c>
      <c r="S13" s="243"/>
      <c r="T13" s="243"/>
      <c r="U13" s="244"/>
      <c r="W13" s="57"/>
      <c r="X13" s="229"/>
      <c r="Y13" s="229"/>
      <c r="Z13" s="229"/>
      <c r="AA13" s="229"/>
      <c r="AB13" s="47"/>
      <c r="AC13" s="9"/>
      <c r="AD13" s="9"/>
      <c r="AE13" s="121"/>
      <c r="AF13" s="57"/>
      <c r="AG13" s="187"/>
      <c r="AH13" s="187"/>
      <c r="AI13" s="187"/>
      <c r="AJ13" s="187"/>
      <c r="AK13" s="47"/>
      <c r="AL13" s="121"/>
      <c r="AM13" s="121"/>
      <c r="AN13" s="1"/>
      <c r="AO13" s="1"/>
    </row>
    <row r="14" spans="1:41" ht="29.25" customHeight="1" x14ac:dyDescent="0.2">
      <c r="B14" s="230"/>
      <c r="C14" s="232"/>
      <c r="D14" s="235"/>
      <c r="E14" s="245" t="s">
        <v>81</v>
      </c>
      <c r="F14" s="235"/>
      <c r="G14" s="247" t="s">
        <v>3</v>
      </c>
      <c r="H14" s="247" t="s">
        <v>9</v>
      </c>
      <c r="I14" s="238"/>
      <c r="J14" s="247" t="s">
        <v>4</v>
      </c>
      <c r="K14" s="247" t="s">
        <v>9</v>
      </c>
      <c r="L14" s="241"/>
      <c r="M14" s="225" t="s">
        <v>5</v>
      </c>
      <c r="N14" s="247" t="s">
        <v>9</v>
      </c>
      <c r="O14" s="10"/>
      <c r="P14" s="240"/>
      <c r="Q14" s="29"/>
      <c r="R14" s="249" t="s">
        <v>51</v>
      </c>
      <c r="S14" s="251" t="s">
        <v>92</v>
      </c>
      <c r="T14" s="251" t="s">
        <v>55</v>
      </c>
      <c r="U14" s="251" t="s">
        <v>75</v>
      </c>
      <c r="W14" s="46"/>
      <c r="X14" s="221" t="s">
        <v>66</v>
      </c>
      <c r="Y14" s="222"/>
      <c r="Z14" s="222"/>
      <c r="AA14" s="215">
        <f>SUM(C16:C20)</f>
        <v>0</v>
      </c>
      <c r="AB14" s="47"/>
      <c r="AC14" s="121"/>
      <c r="AD14" s="121"/>
      <c r="AE14" s="121"/>
      <c r="AF14" s="46"/>
      <c r="AG14" s="221" t="s">
        <v>66</v>
      </c>
      <c r="AH14" s="222"/>
      <c r="AI14" s="222"/>
      <c r="AJ14" s="215">
        <f>SUM(C21:C46)</f>
        <v>0</v>
      </c>
      <c r="AK14" s="47"/>
      <c r="AL14" s="121"/>
      <c r="AM14" s="121"/>
      <c r="AN14" s="1"/>
      <c r="AO14" s="1"/>
    </row>
    <row r="15" spans="1:41" ht="30" customHeight="1" thickBot="1" x14ac:dyDescent="0.25">
      <c r="B15" s="230"/>
      <c r="C15" s="233"/>
      <c r="D15" s="236"/>
      <c r="E15" s="246"/>
      <c r="F15" s="236"/>
      <c r="G15" s="248"/>
      <c r="H15" s="248"/>
      <c r="I15" s="239"/>
      <c r="J15" s="248"/>
      <c r="K15" s="248"/>
      <c r="L15" s="241"/>
      <c r="M15" s="226"/>
      <c r="N15" s="248"/>
      <c r="O15" s="10"/>
      <c r="P15" s="240"/>
      <c r="Q15" s="29"/>
      <c r="R15" s="250"/>
      <c r="S15" s="252"/>
      <c r="T15" s="253"/>
      <c r="U15" s="253"/>
      <c r="W15" s="46"/>
      <c r="X15" s="223"/>
      <c r="Y15" s="224"/>
      <c r="Z15" s="224"/>
      <c r="AA15" s="216"/>
      <c r="AB15" s="47"/>
      <c r="AC15" s="123" t="s">
        <v>99</v>
      </c>
      <c r="AD15" s="123" t="s">
        <v>100</v>
      </c>
      <c r="AE15" s="121"/>
      <c r="AF15" s="46"/>
      <c r="AG15" s="223"/>
      <c r="AH15" s="224"/>
      <c r="AI15" s="224"/>
      <c r="AJ15" s="216"/>
      <c r="AK15" s="47"/>
      <c r="AL15" s="122" t="s">
        <v>99</v>
      </c>
      <c r="AM15" s="123" t="s">
        <v>100</v>
      </c>
      <c r="AN15" s="1"/>
      <c r="AO15" s="1"/>
    </row>
    <row r="16" spans="1:41" ht="30.75" customHeight="1" x14ac:dyDescent="0.2">
      <c r="B16" s="141" t="s">
        <v>19</v>
      </c>
      <c r="C16" s="80"/>
      <c r="D16" s="80"/>
      <c r="E16" s="80"/>
      <c r="F16" s="83" t="str">
        <f>IF(C16="","",$D$4)</f>
        <v/>
      </c>
      <c r="G16" s="94">
        <f>MIN(C16,$D$4)</f>
        <v>0</v>
      </c>
      <c r="H16" s="94" t="e">
        <f>F16-G16</f>
        <v>#VALUE!</v>
      </c>
      <c r="I16" s="84" t="str">
        <f t="shared" ref="I16:I28" si="0">IF(C16="","",MAX(ROUNDDOWN($P$3/365,0)-$D$4,0))</f>
        <v/>
      </c>
      <c r="J16" s="94">
        <f t="shared" ref="J16:J28" si="1">MAX(MIN(C16-G16,ROUNDDOWN($P$3/365,0)-G16),0)</f>
        <v>0</v>
      </c>
      <c r="K16" s="94" t="e">
        <f>I16-J16</f>
        <v>#VALUE!</v>
      </c>
      <c r="L16" s="84" t="str">
        <f t="shared" ref="L16:L28" si="2">IF(C16="","",R16+D16+S16+T16-U16)</f>
        <v/>
      </c>
      <c r="M16" s="102" t="e">
        <f t="shared" ref="M16:M28" si="3">MAX(MIN(C16-G16-J16,R16+D16+S16+T16-U16),0)</f>
        <v>#VALUE!</v>
      </c>
      <c r="N16" s="102" t="e">
        <f>L16-M16</f>
        <v>#VALUE!</v>
      </c>
      <c r="O16" s="14"/>
      <c r="P16" s="91" t="str">
        <f t="shared" ref="P16:P28" si="4">IF(C16="","",MAX(C16-(F16+I16+L16),0))</f>
        <v/>
      </c>
      <c r="Q16" s="15"/>
      <c r="R16" s="86" t="str">
        <f t="shared" ref="R16:R28" si="5">IF(C16="","",ROUNDDOWN(ROUNDDOWN($P$3/365,0)*$D$5/100,0)+IFERROR(ROUNDDOWN(ROUNDDOWN(T$8/T$9,0)*$D$5/100,0),0))</f>
        <v/>
      </c>
      <c r="S16" s="86" t="str">
        <f t="shared" ref="S16:S28" si="6">IF(C16="","",ROUNDDOWN((MAX(D16-E16-$P$4,0)*$D$6/100),0))</f>
        <v/>
      </c>
      <c r="T16" s="84" t="str">
        <f t="shared" ref="T16:T28" si="7">IF(C16="","",ROUNDDOWN($T$4/$D$3,0)+$T$6)</f>
        <v/>
      </c>
      <c r="U16" s="91" t="str">
        <f t="shared" ref="U16:U28" si="8">IF(C16="","",IF($AA$4="○",ROUNDDOWN((R16+D16+S16+T16)*25/100,0)+ROUNDDOWN(AA$6/$D$3,0),ROUNDDOWN(AA$6/$D$3,0)))</f>
        <v/>
      </c>
      <c r="V16" s="2"/>
      <c r="W16" s="46"/>
      <c r="X16" s="70"/>
      <c r="Y16" s="211" t="s">
        <v>73</v>
      </c>
      <c r="Z16" s="212"/>
      <c r="AA16" s="215">
        <f>MIN($G$48,$AA$14)</f>
        <v>0</v>
      </c>
      <c r="AB16" s="47"/>
      <c r="AC16" s="209">
        <v>0</v>
      </c>
      <c r="AD16" s="190">
        <f>ROUNDDOWN(AA16*AC16/36500,0)</f>
        <v>0</v>
      </c>
      <c r="AE16" s="121"/>
      <c r="AF16" s="46"/>
      <c r="AG16" s="70"/>
      <c r="AH16" s="211" t="s">
        <v>104</v>
      </c>
      <c r="AI16" s="212"/>
      <c r="AJ16" s="215">
        <f>IF(AI31=0,0,MIN(AI31,AJ14))</f>
        <v>0</v>
      </c>
      <c r="AK16" s="47"/>
      <c r="AL16" s="217">
        <v>0</v>
      </c>
      <c r="AM16" s="195">
        <f t="shared" ref="AM16" si="9">ROUNDDOWN(AJ16*AL16/36500,0)</f>
        <v>0</v>
      </c>
      <c r="AN16" s="1"/>
      <c r="AO16" s="1"/>
    </row>
    <row r="17" spans="2:43" ht="30.75" customHeight="1" thickBot="1" x14ac:dyDescent="0.25">
      <c r="B17" s="141" t="s">
        <v>20</v>
      </c>
      <c r="C17" s="78"/>
      <c r="D17" s="78"/>
      <c r="E17" s="78"/>
      <c r="F17" s="83" t="str">
        <f>IF(C17="","",$D$4)</f>
        <v/>
      </c>
      <c r="G17" s="94">
        <f>MIN(C17,$D$4)</f>
        <v>0</v>
      </c>
      <c r="H17" s="94" t="e">
        <f>F17-G17</f>
        <v>#VALUE!</v>
      </c>
      <c r="I17" s="84" t="str">
        <f t="shared" si="0"/>
        <v/>
      </c>
      <c r="J17" s="94">
        <f t="shared" si="1"/>
        <v>0</v>
      </c>
      <c r="K17" s="94" t="e">
        <f>I17-J17</f>
        <v>#VALUE!</v>
      </c>
      <c r="L17" s="84" t="str">
        <f t="shared" si="2"/>
        <v/>
      </c>
      <c r="M17" s="102" t="e">
        <f t="shared" si="3"/>
        <v>#VALUE!</v>
      </c>
      <c r="N17" s="102" t="e">
        <f t="shared" ref="N17:N46" si="10">L17-M17</f>
        <v>#VALUE!</v>
      </c>
      <c r="O17" s="14"/>
      <c r="P17" s="91" t="str">
        <f t="shared" si="4"/>
        <v/>
      </c>
      <c r="Q17" s="15"/>
      <c r="R17" s="86" t="str">
        <f t="shared" si="5"/>
        <v/>
      </c>
      <c r="S17" s="86" t="str">
        <f t="shared" si="6"/>
        <v/>
      </c>
      <c r="T17" s="84" t="str">
        <f t="shared" si="7"/>
        <v/>
      </c>
      <c r="U17" s="91" t="str">
        <f t="shared" si="8"/>
        <v/>
      </c>
      <c r="V17" s="2"/>
      <c r="W17" s="46"/>
      <c r="X17" s="70"/>
      <c r="Y17" s="213"/>
      <c r="Z17" s="214"/>
      <c r="AA17" s="216"/>
      <c r="AB17" s="47"/>
      <c r="AC17" s="210"/>
      <c r="AD17" s="190"/>
      <c r="AE17" s="121"/>
      <c r="AF17" s="46"/>
      <c r="AG17" s="70"/>
      <c r="AH17" s="213"/>
      <c r="AI17" s="214"/>
      <c r="AJ17" s="216"/>
      <c r="AK17" s="47"/>
      <c r="AL17" s="218"/>
      <c r="AM17" s="189"/>
      <c r="AN17" s="1"/>
      <c r="AO17" s="1"/>
    </row>
    <row r="18" spans="2:43" ht="30.75" customHeight="1" x14ac:dyDescent="0.2">
      <c r="B18" s="141" t="s">
        <v>21</v>
      </c>
      <c r="C18" s="78"/>
      <c r="D18" s="78"/>
      <c r="E18" s="78"/>
      <c r="F18" s="83" t="str">
        <f>IF(C18="","",$D$4)</f>
        <v/>
      </c>
      <c r="G18" s="94">
        <f t="shared" ref="G18:G28" si="11">MIN(C18,$D$4)</f>
        <v>0</v>
      </c>
      <c r="H18" s="94" t="e">
        <f t="shared" ref="H18:H46" si="12">F18-G18</f>
        <v>#VALUE!</v>
      </c>
      <c r="I18" s="84" t="str">
        <f t="shared" si="0"/>
        <v/>
      </c>
      <c r="J18" s="94">
        <f t="shared" si="1"/>
        <v>0</v>
      </c>
      <c r="K18" s="94" t="e">
        <f t="shared" ref="K18:K46" si="13">I18-J18</f>
        <v>#VALUE!</v>
      </c>
      <c r="L18" s="84" t="str">
        <f t="shared" si="2"/>
        <v/>
      </c>
      <c r="M18" s="102" t="e">
        <f t="shared" si="3"/>
        <v>#VALUE!</v>
      </c>
      <c r="N18" s="102" t="e">
        <f t="shared" si="10"/>
        <v>#VALUE!</v>
      </c>
      <c r="O18" s="14"/>
      <c r="P18" s="91" t="str">
        <f t="shared" si="4"/>
        <v/>
      </c>
      <c r="Q18" s="15"/>
      <c r="R18" s="86" t="str">
        <f t="shared" si="5"/>
        <v/>
      </c>
      <c r="S18" s="86" t="str">
        <f t="shared" si="6"/>
        <v/>
      </c>
      <c r="T18" s="84" t="str">
        <f t="shared" si="7"/>
        <v/>
      </c>
      <c r="U18" s="91" t="str">
        <f t="shared" si="8"/>
        <v/>
      </c>
      <c r="V18" s="2"/>
      <c r="W18" s="46"/>
      <c r="X18" s="70"/>
      <c r="Y18" s="211" t="s">
        <v>58</v>
      </c>
      <c r="Z18" s="212"/>
      <c r="AA18" s="215">
        <f>MAX(MIN(Z34,AA14-AA16),0)</f>
        <v>0</v>
      </c>
      <c r="AB18" s="47"/>
      <c r="AC18" s="209">
        <v>0.1</v>
      </c>
      <c r="AD18" s="190">
        <f t="shared" ref="AD18" si="14">ROUNDDOWN(AA18*AC18/36500,0)</f>
        <v>0</v>
      </c>
      <c r="AE18" s="121"/>
      <c r="AF18" s="46"/>
      <c r="AG18" s="70"/>
      <c r="AH18" s="211" t="s">
        <v>105</v>
      </c>
      <c r="AI18" s="212"/>
      <c r="AJ18" s="215">
        <f>IF(AI34=0,0,MIN(AJ14-AJ16,AI34))</f>
        <v>0</v>
      </c>
      <c r="AK18" s="47"/>
      <c r="AL18" s="217">
        <v>0.1</v>
      </c>
      <c r="AM18" s="195">
        <f t="shared" ref="AM18" si="15">ROUNDDOWN(AJ18*AL18/36500,0)</f>
        <v>0</v>
      </c>
      <c r="AN18" s="1"/>
      <c r="AO18" s="1"/>
    </row>
    <row r="19" spans="2:43" ht="30.75" customHeight="1" thickBot="1" x14ac:dyDescent="0.25">
      <c r="B19" s="141" t="s">
        <v>22</v>
      </c>
      <c r="C19" s="78"/>
      <c r="D19" s="78"/>
      <c r="E19" s="78"/>
      <c r="F19" s="83" t="str">
        <f t="shared" ref="F19:F27" si="16">IF(C19="","",$D$4)</f>
        <v/>
      </c>
      <c r="G19" s="94">
        <f t="shared" si="11"/>
        <v>0</v>
      </c>
      <c r="H19" s="94" t="e">
        <f t="shared" si="12"/>
        <v>#VALUE!</v>
      </c>
      <c r="I19" s="84" t="str">
        <f t="shared" si="0"/>
        <v/>
      </c>
      <c r="J19" s="94">
        <f t="shared" si="1"/>
        <v>0</v>
      </c>
      <c r="K19" s="94" t="e">
        <f t="shared" si="13"/>
        <v>#VALUE!</v>
      </c>
      <c r="L19" s="84" t="str">
        <f t="shared" si="2"/>
        <v/>
      </c>
      <c r="M19" s="102" t="e">
        <f t="shared" si="3"/>
        <v>#VALUE!</v>
      </c>
      <c r="N19" s="102" t="e">
        <f t="shared" si="10"/>
        <v>#VALUE!</v>
      </c>
      <c r="O19" s="14"/>
      <c r="P19" s="91" t="str">
        <f t="shared" si="4"/>
        <v/>
      </c>
      <c r="Q19" s="15"/>
      <c r="R19" s="86" t="str">
        <f t="shared" si="5"/>
        <v/>
      </c>
      <c r="S19" s="86" t="str">
        <f t="shared" si="6"/>
        <v/>
      </c>
      <c r="T19" s="84" t="str">
        <f t="shared" si="7"/>
        <v/>
      </c>
      <c r="U19" s="91" t="str">
        <f t="shared" si="8"/>
        <v/>
      </c>
      <c r="V19" s="2"/>
      <c r="W19" s="46"/>
      <c r="X19" s="70"/>
      <c r="Y19" s="213"/>
      <c r="Z19" s="214"/>
      <c r="AA19" s="216"/>
      <c r="AB19" s="47"/>
      <c r="AC19" s="210"/>
      <c r="AD19" s="190"/>
      <c r="AE19" s="121"/>
      <c r="AF19" s="46"/>
      <c r="AG19" s="70"/>
      <c r="AH19" s="213"/>
      <c r="AI19" s="214"/>
      <c r="AJ19" s="216"/>
      <c r="AK19" s="47"/>
      <c r="AL19" s="218"/>
      <c r="AM19" s="189"/>
      <c r="AN19" s="1"/>
      <c r="AO19" s="1"/>
    </row>
    <row r="20" spans="2:43" ht="30.75" customHeight="1" thickBot="1" x14ac:dyDescent="0.25">
      <c r="B20" s="142" t="s">
        <v>23</v>
      </c>
      <c r="C20" s="124"/>
      <c r="D20" s="124"/>
      <c r="E20" s="124"/>
      <c r="F20" s="138" t="str">
        <f t="shared" si="16"/>
        <v/>
      </c>
      <c r="G20" s="125">
        <f>MIN(C20,$D$4)</f>
        <v>0</v>
      </c>
      <c r="H20" s="125" t="e">
        <f t="shared" si="12"/>
        <v>#VALUE!</v>
      </c>
      <c r="I20" s="126" t="str">
        <f t="shared" si="0"/>
        <v/>
      </c>
      <c r="J20" s="125">
        <f t="shared" si="1"/>
        <v>0</v>
      </c>
      <c r="K20" s="125" t="e">
        <f t="shared" si="13"/>
        <v>#VALUE!</v>
      </c>
      <c r="L20" s="126" t="str">
        <f t="shared" si="2"/>
        <v/>
      </c>
      <c r="M20" s="127" t="e">
        <f t="shared" si="3"/>
        <v>#VALUE!</v>
      </c>
      <c r="N20" s="127" t="e">
        <f t="shared" si="10"/>
        <v>#VALUE!</v>
      </c>
      <c r="O20" s="139"/>
      <c r="P20" s="128" t="str">
        <f t="shared" si="4"/>
        <v/>
      </c>
      <c r="Q20" s="140"/>
      <c r="R20" s="129" t="str">
        <f t="shared" si="5"/>
        <v/>
      </c>
      <c r="S20" s="129" t="str">
        <f t="shared" si="6"/>
        <v/>
      </c>
      <c r="T20" s="126" t="str">
        <f t="shared" si="7"/>
        <v/>
      </c>
      <c r="U20" s="128" t="str">
        <f t="shared" si="8"/>
        <v/>
      </c>
      <c r="V20" s="2"/>
      <c r="W20" s="46"/>
      <c r="X20" s="70"/>
      <c r="Y20" s="211" t="s">
        <v>59</v>
      </c>
      <c r="Z20" s="212"/>
      <c r="AA20" s="215">
        <f>MAX(MIN(Z37,AA14-AA16-AA18),0)</f>
        <v>0</v>
      </c>
      <c r="AB20" s="48"/>
      <c r="AC20" s="209">
        <v>0</v>
      </c>
      <c r="AD20" s="190">
        <f t="shared" ref="AD20" si="17">ROUNDDOWN(AA20*AC20/36500,0)</f>
        <v>0</v>
      </c>
      <c r="AE20" s="121"/>
      <c r="AF20" s="46"/>
      <c r="AG20" s="70"/>
      <c r="AH20" s="211" t="s">
        <v>114</v>
      </c>
      <c r="AI20" s="212"/>
      <c r="AJ20" s="215">
        <f>IF(AI37=0,0,MIN(AJ14-AJ16-AJ18,AI37))</f>
        <v>0</v>
      </c>
      <c r="AK20" s="48"/>
      <c r="AL20" s="217">
        <v>0.1</v>
      </c>
      <c r="AM20" s="195">
        <f t="shared" ref="AM20" si="18">ROUNDDOWN(AJ20*AL20/36500,0)</f>
        <v>0</v>
      </c>
      <c r="AN20" s="1"/>
      <c r="AO20" s="1"/>
    </row>
    <row r="21" spans="2:43" ht="30.75" customHeight="1" thickTop="1" thickBot="1" x14ac:dyDescent="0.25">
      <c r="B21" s="143" t="s">
        <v>24</v>
      </c>
      <c r="C21" s="132"/>
      <c r="D21" s="132"/>
      <c r="E21" s="132"/>
      <c r="F21" s="83" t="str">
        <f>IF(C21="","",$D$4)</f>
        <v/>
      </c>
      <c r="G21" s="133">
        <f t="shared" si="11"/>
        <v>0</v>
      </c>
      <c r="H21" s="133" t="e">
        <f t="shared" si="12"/>
        <v>#VALUE!</v>
      </c>
      <c r="I21" s="134" t="str">
        <f t="shared" si="0"/>
        <v/>
      </c>
      <c r="J21" s="133">
        <f t="shared" si="1"/>
        <v>0</v>
      </c>
      <c r="K21" s="133" t="e">
        <f t="shared" si="13"/>
        <v>#VALUE!</v>
      </c>
      <c r="L21" s="134" t="str">
        <f t="shared" si="2"/>
        <v/>
      </c>
      <c r="M21" s="135" t="e">
        <f t="shared" si="3"/>
        <v>#VALUE!</v>
      </c>
      <c r="N21" s="135" t="e">
        <f t="shared" si="10"/>
        <v>#VALUE!</v>
      </c>
      <c r="O21" s="14"/>
      <c r="P21" s="136" t="str">
        <f t="shared" si="4"/>
        <v/>
      </c>
      <c r="Q21" s="15"/>
      <c r="R21" s="137" t="str">
        <f t="shared" si="5"/>
        <v/>
      </c>
      <c r="S21" s="137" t="str">
        <f t="shared" si="6"/>
        <v/>
      </c>
      <c r="T21" s="134" t="str">
        <f t="shared" si="7"/>
        <v/>
      </c>
      <c r="U21" s="136" t="str">
        <f t="shared" si="8"/>
        <v/>
      </c>
      <c r="V21" s="2"/>
      <c r="W21" s="46"/>
      <c r="X21" s="70"/>
      <c r="Y21" s="213"/>
      <c r="Z21" s="214"/>
      <c r="AA21" s="216"/>
      <c r="AB21" s="48"/>
      <c r="AC21" s="210"/>
      <c r="AD21" s="190"/>
      <c r="AE21" s="121"/>
      <c r="AF21" s="46"/>
      <c r="AG21" s="70"/>
      <c r="AH21" s="213"/>
      <c r="AI21" s="214"/>
      <c r="AJ21" s="216"/>
      <c r="AK21" s="48"/>
      <c r="AL21" s="218"/>
      <c r="AM21" s="189"/>
      <c r="AN21" s="1"/>
      <c r="AO21" s="1"/>
    </row>
    <row r="22" spans="2:43" ht="30.75" customHeight="1" x14ac:dyDescent="0.2">
      <c r="B22" s="144" t="s">
        <v>25</v>
      </c>
      <c r="C22" s="78"/>
      <c r="D22" s="78"/>
      <c r="E22" s="78"/>
      <c r="F22" s="83" t="str">
        <f t="shared" si="16"/>
        <v/>
      </c>
      <c r="G22" s="94">
        <f t="shared" si="11"/>
        <v>0</v>
      </c>
      <c r="H22" s="94" t="e">
        <f t="shared" si="12"/>
        <v>#VALUE!</v>
      </c>
      <c r="I22" s="84" t="str">
        <f t="shared" si="0"/>
        <v/>
      </c>
      <c r="J22" s="94">
        <f t="shared" si="1"/>
        <v>0</v>
      </c>
      <c r="K22" s="94" t="e">
        <f t="shared" si="13"/>
        <v>#VALUE!</v>
      </c>
      <c r="L22" s="84" t="str">
        <f t="shared" si="2"/>
        <v/>
      </c>
      <c r="M22" s="102" t="e">
        <f t="shared" si="3"/>
        <v>#VALUE!</v>
      </c>
      <c r="N22" s="102" t="e">
        <f t="shared" si="10"/>
        <v>#VALUE!</v>
      </c>
      <c r="O22" s="14"/>
      <c r="P22" s="91" t="str">
        <f t="shared" si="4"/>
        <v/>
      </c>
      <c r="Q22" s="15"/>
      <c r="R22" s="86" t="str">
        <f t="shared" si="5"/>
        <v/>
      </c>
      <c r="S22" s="86" t="str">
        <f t="shared" si="6"/>
        <v/>
      </c>
      <c r="T22" s="84" t="str">
        <f t="shared" si="7"/>
        <v/>
      </c>
      <c r="U22" s="91" t="str">
        <f t="shared" si="8"/>
        <v/>
      </c>
      <c r="V22" s="2"/>
      <c r="W22" s="46"/>
      <c r="X22" s="71"/>
      <c r="Y22" s="200" t="s">
        <v>56</v>
      </c>
      <c r="Z22" s="201"/>
      <c r="AA22" s="254">
        <f>MAX(AA14-AA16-AA18-AA20,0)</f>
        <v>0</v>
      </c>
      <c r="AB22" s="48"/>
      <c r="AC22" s="196">
        <v>-0.1</v>
      </c>
      <c r="AD22" s="198">
        <f t="shared" ref="AD22" si="19">ROUNDDOWN(AA22*AC22/36500,0)</f>
        <v>0</v>
      </c>
      <c r="AE22" s="121"/>
      <c r="AF22" s="46"/>
      <c r="AG22" s="71"/>
      <c r="AH22" s="200" t="s">
        <v>56</v>
      </c>
      <c r="AI22" s="201"/>
      <c r="AJ22" s="204">
        <f>MAX(AJ14-AJ16-AJ18-AJ20,0)</f>
        <v>0</v>
      </c>
      <c r="AK22" s="48"/>
      <c r="AL22" s="206">
        <v>0.1</v>
      </c>
      <c r="AM22" s="195">
        <f t="shared" ref="AM22" si="20">ROUNDDOWN(AJ22*AL22/36500,0)</f>
        <v>0</v>
      </c>
      <c r="AN22" s="1"/>
      <c r="AO22" s="1"/>
    </row>
    <row r="23" spans="2:43" ht="30.75" customHeight="1" thickBot="1" x14ac:dyDescent="0.25">
      <c r="B23" s="144" t="s">
        <v>26</v>
      </c>
      <c r="C23" s="78"/>
      <c r="D23" s="78"/>
      <c r="E23" s="78"/>
      <c r="F23" s="83" t="str">
        <f t="shared" si="16"/>
        <v/>
      </c>
      <c r="G23" s="94">
        <f t="shared" si="11"/>
        <v>0</v>
      </c>
      <c r="H23" s="94" t="e">
        <f t="shared" si="12"/>
        <v>#VALUE!</v>
      </c>
      <c r="I23" s="84" t="str">
        <f t="shared" si="0"/>
        <v/>
      </c>
      <c r="J23" s="94">
        <f t="shared" si="1"/>
        <v>0</v>
      </c>
      <c r="K23" s="94" t="e">
        <f t="shared" si="13"/>
        <v>#VALUE!</v>
      </c>
      <c r="L23" s="84" t="str">
        <f t="shared" si="2"/>
        <v/>
      </c>
      <c r="M23" s="102" t="e">
        <f t="shared" si="3"/>
        <v>#VALUE!</v>
      </c>
      <c r="N23" s="102" t="e">
        <f t="shared" si="10"/>
        <v>#VALUE!</v>
      </c>
      <c r="O23" s="14"/>
      <c r="P23" s="91" t="str">
        <f t="shared" si="4"/>
        <v/>
      </c>
      <c r="Q23" s="15"/>
      <c r="R23" s="86" t="str">
        <f t="shared" si="5"/>
        <v/>
      </c>
      <c r="S23" s="86" t="str">
        <f t="shared" si="6"/>
        <v/>
      </c>
      <c r="T23" s="84" t="str">
        <f t="shared" si="7"/>
        <v/>
      </c>
      <c r="U23" s="91" t="str">
        <f t="shared" si="8"/>
        <v/>
      </c>
      <c r="V23" s="2"/>
      <c r="W23" s="49"/>
      <c r="X23" s="72"/>
      <c r="Y23" s="202"/>
      <c r="Z23" s="203"/>
      <c r="AA23" s="255"/>
      <c r="AB23" s="50"/>
      <c r="AC23" s="197"/>
      <c r="AD23" s="199"/>
      <c r="AE23" s="121"/>
      <c r="AF23" s="49"/>
      <c r="AG23" s="72"/>
      <c r="AH23" s="202"/>
      <c r="AI23" s="203"/>
      <c r="AJ23" s="205"/>
      <c r="AK23" s="50"/>
      <c r="AL23" s="207"/>
      <c r="AM23" s="208"/>
      <c r="AN23" s="1"/>
      <c r="AO23" s="1"/>
    </row>
    <row r="24" spans="2:43" ht="30.75" customHeight="1" thickTop="1" thickBot="1" x14ac:dyDescent="0.25">
      <c r="B24" s="144" t="s">
        <v>27</v>
      </c>
      <c r="C24" s="78"/>
      <c r="D24" s="78"/>
      <c r="E24" s="78"/>
      <c r="F24" s="83" t="str">
        <f t="shared" si="16"/>
        <v/>
      </c>
      <c r="G24" s="94">
        <f t="shared" si="11"/>
        <v>0</v>
      </c>
      <c r="H24" s="94" t="e">
        <f t="shared" si="12"/>
        <v>#VALUE!</v>
      </c>
      <c r="I24" s="84" t="str">
        <f t="shared" si="0"/>
        <v/>
      </c>
      <c r="J24" s="94">
        <f t="shared" si="1"/>
        <v>0</v>
      </c>
      <c r="K24" s="94" t="e">
        <f t="shared" si="13"/>
        <v>#VALUE!</v>
      </c>
      <c r="L24" s="84" t="str">
        <f t="shared" si="2"/>
        <v/>
      </c>
      <c r="M24" s="102" t="e">
        <f t="shared" si="3"/>
        <v>#VALUE!</v>
      </c>
      <c r="N24" s="102" t="e">
        <f t="shared" si="10"/>
        <v>#VALUE!</v>
      </c>
      <c r="O24" s="14"/>
      <c r="P24" s="91" t="str">
        <f t="shared" si="4"/>
        <v/>
      </c>
      <c r="Q24" s="15"/>
      <c r="R24" s="86" t="str">
        <f t="shared" si="5"/>
        <v/>
      </c>
      <c r="S24" s="86" t="str">
        <f t="shared" si="6"/>
        <v/>
      </c>
      <c r="T24" s="84" t="str">
        <f t="shared" si="7"/>
        <v/>
      </c>
      <c r="U24" s="91" t="str">
        <f t="shared" si="8"/>
        <v/>
      </c>
      <c r="V24" s="2"/>
      <c r="W24" s="52"/>
      <c r="X24" s="53"/>
      <c r="Y24" s="53"/>
      <c r="Z24" s="53"/>
      <c r="AA24" s="53"/>
      <c r="AB24" s="75"/>
      <c r="AC24" s="188" t="s">
        <v>8</v>
      </c>
      <c r="AD24" s="189">
        <f>SUM(AD16:AD23)</f>
        <v>0</v>
      </c>
      <c r="AE24" s="1"/>
      <c r="AF24" s="52"/>
      <c r="AG24" s="53"/>
      <c r="AH24" s="53"/>
      <c r="AI24" s="53"/>
      <c r="AJ24" s="53"/>
      <c r="AK24" s="75"/>
      <c r="AL24" s="191" t="s">
        <v>8</v>
      </c>
      <c r="AM24" s="189">
        <f>SUM(AM16:AM23)</f>
        <v>0</v>
      </c>
      <c r="AN24" s="1"/>
      <c r="AO24" s="193" t="s">
        <v>101</v>
      </c>
      <c r="AP24" s="184">
        <f>AD24+AM24</f>
        <v>0</v>
      </c>
    </row>
    <row r="25" spans="2:43" ht="30.75" customHeight="1" x14ac:dyDescent="0.2">
      <c r="B25" s="144" t="s">
        <v>28</v>
      </c>
      <c r="C25" s="78"/>
      <c r="D25" s="78"/>
      <c r="E25" s="78"/>
      <c r="F25" s="83" t="str">
        <f t="shared" si="16"/>
        <v/>
      </c>
      <c r="G25" s="94">
        <f t="shared" si="11"/>
        <v>0</v>
      </c>
      <c r="H25" s="94" t="e">
        <f t="shared" si="12"/>
        <v>#VALUE!</v>
      </c>
      <c r="I25" s="84" t="str">
        <f t="shared" si="0"/>
        <v/>
      </c>
      <c r="J25" s="94">
        <f t="shared" si="1"/>
        <v>0</v>
      </c>
      <c r="K25" s="94" t="e">
        <f t="shared" si="13"/>
        <v>#VALUE!</v>
      </c>
      <c r="L25" s="84" t="str">
        <f t="shared" si="2"/>
        <v/>
      </c>
      <c r="M25" s="102" t="e">
        <f t="shared" si="3"/>
        <v>#VALUE!</v>
      </c>
      <c r="N25" s="102" t="e">
        <f t="shared" si="10"/>
        <v>#VALUE!</v>
      </c>
      <c r="O25" s="14"/>
      <c r="P25" s="91" t="str">
        <f t="shared" si="4"/>
        <v/>
      </c>
      <c r="Q25" s="15"/>
      <c r="R25" s="86" t="str">
        <f t="shared" si="5"/>
        <v/>
      </c>
      <c r="S25" s="86" t="str">
        <f t="shared" si="6"/>
        <v/>
      </c>
      <c r="T25" s="84" t="str">
        <f t="shared" si="7"/>
        <v/>
      </c>
      <c r="U25" s="91" t="str">
        <f t="shared" si="8"/>
        <v/>
      </c>
      <c r="V25" s="2"/>
      <c r="AC25" s="189"/>
      <c r="AD25" s="190"/>
      <c r="AE25" s="1"/>
      <c r="AF25" s="1"/>
      <c r="AL25" s="192"/>
      <c r="AM25" s="190"/>
      <c r="AN25" s="1"/>
      <c r="AO25" s="194"/>
      <c r="AP25" s="185"/>
      <c r="AQ25" s="67" t="s">
        <v>6</v>
      </c>
    </row>
    <row r="26" spans="2:43" ht="30.75" customHeight="1" thickBot="1" x14ac:dyDescent="0.25">
      <c r="B26" s="144" t="s">
        <v>29</v>
      </c>
      <c r="C26" s="78"/>
      <c r="D26" s="78"/>
      <c r="E26" s="78"/>
      <c r="F26" s="83" t="str">
        <f t="shared" si="16"/>
        <v/>
      </c>
      <c r="G26" s="94">
        <f t="shared" si="11"/>
        <v>0</v>
      </c>
      <c r="H26" s="94" t="e">
        <f t="shared" si="12"/>
        <v>#VALUE!</v>
      </c>
      <c r="I26" s="84" t="str">
        <f t="shared" si="0"/>
        <v/>
      </c>
      <c r="J26" s="94">
        <f t="shared" si="1"/>
        <v>0</v>
      </c>
      <c r="K26" s="94" t="e">
        <f>I26-J26</f>
        <v>#VALUE!</v>
      </c>
      <c r="L26" s="84" t="str">
        <f t="shared" si="2"/>
        <v/>
      </c>
      <c r="M26" s="102" t="e">
        <f t="shared" si="3"/>
        <v>#VALUE!</v>
      </c>
      <c r="N26" s="102" t="e">
        <f t="shared" si="10"/>
        <v>#VALUE!</v>
      </c>
      <c r="O26" s="14"/>
      <c r="P26" s="91" t="str">
        <f t="shared" si="4"/>
        <v/>
      </c>
      <c r="Q26" s="15"/>
      <c r="R26" s="86" t="str">
        <f t="shared" si="5"/>
        <v/>
      </c>
      <c r="S26" s="86" t="str">
        <f t="shared" si="6"/>
        <v/>
      </c>
      <c r="T26" s="84" t="str">
        <f t="shared" si="7"/>
        <v/>
      </c>
      <c r="U26" s="91" t="str">
        <f t="shared" si="8"/>
        <v/>
      </c>
      <c r="V26" s="2"/>
      <c r="AC26" s="9"/>
      <c r="AD26" s="9"/>
      <c r="AE26" s="1"/>
      <c r="AF26" s="1"/>
      <c r="AL26" s="9"/>
      <c r="AM26" s="9"/>
      <c r="AN26" s="1"/>
      <c r="AO26" s="1"/>
    </row>
    <row r="27" spans="2:43" ht="30.75" customHeight="1" x14ac:dyDescent="0.2">
      <c r="B27" s="144" t="s">
        <v>30</v>
      </c>
      <c r="C27" s="78"/>
      <c r="D27" s="78"/>
      <c r="E27" s="78"/>
      <c r="F27" s="83" t="str">
        <f t="shared" si="16"/>
        <v/>
      </c>
      <c r="G27" s="94">
        <f t="shared" si="11"/>
        <v>0</v>
      </c>
      <c r="H27" s="94" t="e">
        <f t="shared" si="12"/>
        <v>#VALUE!</v>
      </c>
      <c r="I27" s="84" t="str">
        <f t="shared" si="0"/>
        <v/>
      </c>
      <c r="J27" s="94">
        <f t="shared" si="1"/>
        <v>0</v>
      </c>
      <c r="K27" s="94" t="e">
        <f t="shared" si="13"/>
        <v>#VALUE!</v>
      </c>
      <c r="L27" s="84" t="str">
        <f t="shared" si="2"/>
        <v/>
      </c>
      <c r="M27" s="102" t="e">
        <f t="shared" si="3"/>
        <v>#VALUE!</v>
      </c>
      <c r="N27" s="102" t="e">
        <f t="shared" si="10"/>
        <v>#VALUE!</v>
      </c>
      <c r="O27" s="14"/>
      <c r="P27" s="91" t="str">
        <f t="shared" si="4"/>
        <v/>
      </c>
      <c r="Q27" s="15"/>
      <c r="R27" s="86" t="str">
        <f t="shared" si="5"/>
        <v/>
      </c>
      <c r="S27" s="86" t="str">
        <f t="shared" si="6"/>
        <v/>
      </c>
      <c r="T27" s="84" t="str">
        <f t="shared" si="7"/>
        <v/>
      </c>
      <c r="U27" s="91" t="str">
        <f t="shared" si="8"/>
        <v/>
      </c>
      <c r="V27" s="2"/>
      <c r="W27" s="44"/>
      <c r="X27" s="228" t="s">
        <v>102</v>
      </c>
      <c r="Y27" s="228"/>
      <c r="Z27" s="228"/>
      <c r="AA27" s="228"/>
      <c r="AB27" s="45"/>
      <c r="AD27" s="4"/>
      <c r="AE27" s="1"/>
      <c r="AF27" s="44"/>
      <c r="AG27" s="186" t="s">
        <v>103</v>
      </c>
      <c r="AH27" s="186"/>
      <c r="AI27" s="186"/>
      <c r="AJ27" s="186"/>
      <c r="AK27" s="45"/>
      <c r="AL27" s="4"/>
      <c r="AM27" s="4"/>
      <c r="AN27" s="1"/>
      <c r="AO27" s="1"/>
    </row>
    <row r="28" spans="2:43" ht="30.75" customHeight="1" x14ac:dyDescent="0.2">
      <c r="B28" s="144" t="s">
        <v>31</v>
      </c>
      <c r="C28" s="78"/>
      <c r="D28" s="78"/>
      <c r="E28" s="78"/>
      <c r="F28" s="83" t="str">
        <f>IF(C28="","",$D$4)</f>
        <v/>
      </c>
      <c r="G28" s="94">
        <f t="shared" si="11"/>
        <v>0</v>
      </c>
      <c r="H28" s="94" t="e">
        <f t="shared" si="12"/>
        <v>#VALUE!</v>
      </c>
      <c r="I28" s="84" t="str">
        <f t="shared" si="0"/>
        <v/>
      </c>
      <c r="J28" s="94">
        <f t="shared" si="1"/>
        <v>0</v>
      </c>
      <c r="K28" s="94" t="e">
        <f t="shared" si="13"/>
        <v>#VALUE!</v>
      </c>
      <c r="L28" s="84" t="str">
        <f t="shared" si="2"/>
        <v/>
      </c>
      <c r="M28" s="102" t="e">
        <f t="shared" si="3"/>
        <v>#VALUE!</v>
      </c>
      <c r="N28" s="102" t="e">
        <f t="shared" si="10"/>
        <v>#VALUE!</v>
      </c>
      <c r="O28" s="14"/>
      <c r="P28" s="91" t="str">
        <f t="shared" si="4"/>
        <v/>
      </c>
      <c r="Q28" s="15"/>
      <c r="R28" s="86" t="str">
        <f t="shared" si="5"/>
        <v/>
      </c>
      <c r="S28" s="86" t="str">
        <f t="shared" si="6"/>
        <v/>
      </c>
      <c r="T28" s="84" t="str">
        <f t="shared" si="7"/>
        <v/>
      </c>
      <c r="U28" s="91" t="str">
        <f t="shared" si="8"/>
        <v/>
      </c>
      <c r="V28" s="2"/>
      <c r="W28" s="46"/>
      <c r="X28" s="229"/>
      <c r="Y28" s="229"/>
      <c r="Z28" s="229"/>
      <c r="AA28" s="229"/>
      <c r="AB28" s="47"/>
      <c r="AD28" s="4"/>
      <c r="AE28" s="1"/>
      <c r="AF28" s="46"/>
      <c r="AG28" s="187"/>
      <c r="AH28" s="187"/>
      <c r="AI28" s="187"/>
      <c r="AJ28" s="187"/>
      <c r="AK28" s="47"/>
      <c r="AL28" s="4"/>
      <c r="AM28" s="4"/>
      <c r="AN28" s="1"/>
      <c r="AO28" s="1"/>
    </row>
    <row r="29" spans="2:43" ht="30.75" customHeight="1" x14ac:dyDescent="0.2">
      <c r="B29" s="144" t="s">
        <v>32</v>
      </c>
      <c r="C29" s="78"/>
      <c r="D29" s="78"/>
      <c r="E29" s="78"/>
      <c r="F29" s="83" t="str">
        <f>IF(C29="","",IF(VALUE(LEFT(B29,2))&gt;$D$3,"",$D$4))</f>
        <v/>
      </c>
      <c r="G29" s="94">
        <f>IF(VALUE(LEFT(B29,2))&gt;$D$3,"",MIN(C29,$D$4))</f>
        <v>0</v>
      </c>
      <c r="H29" s="94" t="e">
        <f>IF(VALUE(LEFT(B29,2))&gt;$D$3,"",F29-G29)</f>
        <v>#VALUE!</v>
      </c>
      <c r="I29" s="84" t="str">
        <f>IF(C29="","",IF(VALUE(LEFT(B29,2))&gt;$D$3,"",MAX(ROUNDDOWN($P$3/365,0)-$D$4,0)))</f>
        <v/>
      </c>
      <c r="J29" s="94">
        <f>IF(VALUE(LEFT(B29,2))&gt;$D$3,"",MAX(MIN(C29-G29,ROUNDDOWN($P$3/365,0)-G29),0))</f>
        <v>0</v>
      </c>
      <c r="K29" s="94" t="e">
        <f>IF(VALUE(LEFT(B29,2))&gt;$D$3,"",I29-J29)</f>
        <v>#VALUE!</v>
      </c>
      <c r="L29" s="84" t="str">
        <f>IF(C29="","",IF(VALUE(LEFT(B29,2))&gt;$D$3,"",R29+D29+S29+T29-U29))</f>
        <v/>
      </c>
      <c r="M29" s="102" t="e">
        <f>IF(VALUE(LEFT(B29,2))&gt;D$3,"",MAX(MIN(C29-G29-J29,R29+D29+S29+T29-U29),0))</f>
        <v>#VALUE!</v>
      </c>
      <c r="N29" s="102" t="e">
        <f>IF(VALUE(LEFT(B29,2))&gt;$D$3,"",L29-M29)</f>
        <v>#VALUE!</v>
      </c>
      <c r="O29" s="14"/>
      <c r="P29" s="91" t="str">
        <f>IF(C29="","",IF(VALUE(LEFT(B29,2))&gt;$D$3,"",MAX(C29-(F29+I29+L29),0)))</f>
        <v/>
      </c>
      <c r="Q29" s="15"/>
      <c r="R29" s="86" t="str">
        <f>IF(C29="","",IF(VALUE(LEFT(B29,2))&gt;$D$3,"",ROUNDDOWN(ROUNDDOWN($P$3/365,0)*D$5/100,0)+IFERROR(ROUNDDOWN(ROUNDDOWN(T$8/T$9,0)*$D$5/100,0),0)))</f>
        <v/>
      </c>
      <c r="S29" s="86" t="str">
        <f>IF(C29="","",IF(VALUE(LEFT(B29,2))&gt;$D$3,"",ROUNDDOWN((MAX(D29-E29-$P$4,0)*$D$6/100),0)))</f>
        <v/>
      </c>
      <c r="T29" s="84" t="str">
        <f>IF(C29="","",IF(VALUE(LEFT(B29,2))&gt;$D$3,"",ROUNDDOWN($T$4/$D$3,0)+$T$6))</f>
        <v/>
      </c>
      <c r="U29" s="91" t="str">
        <f>IF(C29="","",IF(VALUE(LEFT(B29,2))&gt;$D$3,"",IF($AA$4="○",ROUNDDOWN((R29+D29+S29+T29)*25/100,0)+ROUNDDOWN(AA$6/$D$3,0),ROUNDDOWN(AA$6/$D$3,0))))</f>
        <v/>
      </c>
      <c r="V29" s="2"/>
      <c r="W29" s="49"/>
      <c r="X29" s="183" t="s">
        <v>52</v>
      </c>
      <c r="Y29" s="183"/>
      <c r="Z29" s="256" t="s">
        <v>60</v>
      </c>
      <c r="AA29" s="183" t="s">
        <v>61</v>
      </c>
      <c r="AB29" s="50"/>
      <c r="AC29" s="130"/>
      <c r="AD29" s="130"/>
      <c r="AE29" s="1"/>
      <c r="AF29" s="49"/>
      <c r="AG29" s="183" t="s">
        <v>52</v>
      </c>
      <c r="AH29" s="183"/>
      <c r="AI29" s="183" t="s">
        <v>106</v>
      </c>
      <c r="AJ29" s="183" t="s">
        <v>109</v>
      </c>
      <c r="AK29" s="50"/>
      <c r="AL29" s="130"/>
      <c r="AM29" s="130"/>
      <c r="AN29" s="1"/>
      <c r="AO29" s="1"/>
    </row>
    <row r="30" spans="2:43" ht="30.75" customHeight="1" x14ac:dyDescent="0.2">
      <c r="B30" s="144" t="s">
        <v>33</v>
      </c>
      <c r="C30" s="78"/>
      <c r="D30" s="78"/>
      <c r="E30" s="78"/>
      <c r="F30" s="83" t="str">
        <f>IF(C30="","",IF(VALUE(LEFT(B30,2))&gt;$D$3,"",$D$4))</f>
        <v/>
      </c>
      <c r="G30" s="94">
        <f>IF(VALUE(LEFT(B30,2))&gt;$D$3,"",MIN(C30,$D$4))</f>
        <v>0</v>
      </c>
      <c r="H30" s="94" t="e">
        <f>IF(VALUE(LEFT(B30,2))&gt;$D$3,"",F30-G30)</f>
        <v>#VALUE!</v>
      </c>
      <c r="I30" s="84" t="str">
        <f>IF(C30="","",IF(VALUE(LEFT(B30,2))&gt;$D$3,"",MAX(ROUNDDOWN($P$3/365,0)-$D$4,0)))</f>
        <v/>
      </c>
      <c r="J30" s="94">
        <f>IF(VALUE(LEFT(B30,2))&gt;$D$3,"",MAX(MIN(C30-G30,ROUNDDOWN($P$3/365,0)-G30),0))</f>
        <v>0</v>
      </c>
      <c r="K30" s="94" t="e">
        <f>IF(VALUE(LEFT(B30,2))&gt;$D$3,"",I30-J30)</f>
        <v>#VALUE!</v>
      </c>
      <c r="L30" s="84" t="str">
        <f>IF(C30="","",IF(VALUE(LEFT(B30,2))&gt;$D$3,"",R30+D30+S30+T30-U30))</f>
        <v/>
      </c>
      <c r="M30" s="102" t="e">
        <f>IF(VALUE(LEFT(B30,2))&gt;D$3,"",MAX(MIN(C30-G30-J30,R30+D30+S30+T30-U30),0))</f>
        <v>#VALUE!</v>
      </c>
      <c r="N30" s="102" t="e">
        <f>IF(VALUE(LEFT(B30,2))&gt;$D$3,"",L30-M30)</f>
        <v>#VALUE!</v>
      </c>
      <c r="O30" s="14"/>
      <c r="P30" s="91" t="str">
        <f>IF(C30="","",IF(VALUE(LEFT(B30,2))&gt;$D$3,"",MAX(C30-(F30+I30+L30),0)))</f>
        <v/>
      </c>
      <c r="Q30" s="15"/>
      <c r="R30" s="86" t="str">
        <f>IF(C30="","",IF(VALUE(LEFT(B30,2))&gt;$D$3,"",ROUNDDOWN(ROUNDDOWN($P$3/365,0)*D$5/100,0)+IFERROR(ROUNDDOWN(ROUNDDOWN(T$8/T$9,0)*$D$5/100,0),0)))</f>
        <v/>
      </c>
      <c r="S30" s="86" t="str">
        <f>IF(C30="","",IF(VALUE(LEFT(B30,2))&gt;$D$3,"",ROUNDDOWN((MAX(D30-E30-$P$4,0)*$D$6/100),0)))</f>
        <v/>
      </c>
      <c r="T30" s="84" t="str">
        <f>IF(C30="","",IF(VALUE(LEFT(B30,2))&gt;$D$3,"",ROUNDDOWN($T$4/$D$3,0)+$T$6))</f>
        <v/>
      </c>
      <c r="U30" s="91" t="str">
        <f>IF(C30="","",IF(VALUE(LEFT(B30,2))&gt;$D$3,"",IF($AA$4="○",ROUNDDOWN((R30+D30+S30+T30)*25/100,0)+ROUNDDOWN(AA$6/$D$3,0),ROUNDDOWN(AA$6/$D$3,0))))</f>
        <v/>
      </c>
      <c r="V30" s="25"/>
      <c r="W30" s="46"/>
      <c r="X30" s="183"/>
      <c r="Y30" s="183"/>
      <c r="Z30" s="256"/>
      <c r="AA30" s="183"/>
      <c r="AB30" s="47"/>
      <c r="AD30" s="4"/>
      <c r="AE30" s="1"/>
      <c r="AF30" s="46"/>
      <c r="AG30" s="183"/>
      <c r="AH30" s="183"/>
      <c r="AI30" s="183"/>
      <c r="AJ30" s="183"/>
      <c r="AK30" s="47"/>
      <c r="AL30" s="4"/>
      <c r="AM30" s="4"/>
      <c r="AN30" s="1"/>
      <c r="AO30" s="1"/>
    </row>
    <row r="31" spans="2:43" ht="30.75" customHeight="1" x14ac:dyDescent="0.2">
      <c r="B31" s="144" t="s">
        <v>34</v>
      </c>
      <c r="C31" s="78"/>
      <c r="D31" s="78"/>
      <c r="E31" s="78"/>
      <c r="F31" s="83" t="str">
        <f>IF(C31="","",IF(VALUE(LEFT(B31,2))&gt;$D$3,"",$D$4))</f>
        <v/>
      </c>
      <c r="G31" s="94">
        <f>IF(VALUE(LEFT(B31,2))&gt;$D$3,"",MIN(C31,$D$4))</f>
        <v>0</v>
      </c>
      <c r="H31" s="94" t="e">
        <f>IF(VALUE(LEFT(B31,2))&gt;$D$3,"",F31-G31)</f>
        <v>#VALUE!</v>
      </c>
      <c r="I31" s="84" t="str">
        <f>IF(C31="","",IF(VALUE(LEFT(B31,2))&gt;$D$3,"",MAX(ROUNDDOWN($P$3/365,0)-$D$4,0)))</f>
        <v/>
      </c>
      <c r="J31" s="94">
        <f>IF(VALUE(LEFT(B31,2))&gt;$D$3,"",MAX(MIN(C31-G31,ROUNDDOWN($P$3/365,0)-G31),0))</f>
        <v>0</v>
      </c>
      <c r="K31" s="94" t="e">
        <f>IF(VALUE(LEFT(B31,2))&gt;$D$3,"",I31-J31)</f>
        <v>#VALUE!</v>
      </c>
      <c r="L31" s="84" t="str">
        <f>IF(C31="","",IF(VALUE(LEFT(B31,2))&gt;$D$3,"",R31+D31+S31+T31-U31))</f>
        <v/>
      </c>
      <c r="M31" s="102" t="e">
        <f>IF(VALUE(LEFT(B31,2))&gt;D$3,"",MAX(MIN(C31-G31-J31,R31+D31+S31+T31-U31),0))</f>
        <v>#VALUE!</v>
      </c>
      <c r="N31" s="102" t="e">
        <f>IF(VALUE(LEFT(B31,2))&gt;$D$3,"",L31-M31)</f>
        <v>#VALUE!</v>
      </c>
      <c r="O31" s="14"/>
      <c r="P31" s="91" t="str">
        <f>IF(C31="","",IF(VALUE(LEFT(B31,2))&gt;$D$3,"",MAX(C31-(F31+I31+L31),0)))</f>
        <v/>
      </c>
      <c r="Q31" s="15"/>
      <c r="R31" s="86" t="str">
        <f>IF(C31="","",IF(VALUE(LEFT(B31,2))&gt;$D$3,"",ROUNDDOWN(ROUNDDOWN($P$3/365,0)*D$5/100,0)+IFERROR(ROUNDDOWN(ROUNDDOWN(T$8/T$9,0)*$D$5/100,0),0)))</f>
        <v/>
      </c>
      <c r="S31" s="86" t="str">
        <f>IF(C31="","",IF(VALUE(LEFT(B31,2))&gt;$D$3,"",ROUNDDOWN((MAX(D31-E31-$P$4,0)*$D$6/100),0)))</f>
        <v/>
      </c>
      <c r="T31" s="84" t="str">
        <f>IF(C31="","",IF(VALUE(LEFT(B31,2))&gt;$D$3,"",ROUNDDOWN($T$4/$D$3,0)+$T$6))</f>
        <v/>
      </c>
      <c r="U31" s="91" t="str">
        <f>IF(C31="","",IF(VALUE(LEFT(B31,2))&gt;$D$3,"",IF($AA$4="○",ROUNDDOWN((R31+D31+S31+T31)*25/100,0)+ROUNDDOWN(AA$6/$D$3,0),ROUNDDOWN(AA$6/$D$3,0))))</f>
        <v/>
      </c>
      <c r="V31" s="2"/>
      <c r="W31" s="49"/>
      <c r="X31" s="183"/>
      <c r="Y31" s="183"/>
      <c r="Z31" s="153">
        <f>$D$4*$D$3</f>
        <v>0</v>
      </c>
      <c r="AA31" s="153">
        <f>MAX($Z$31-$AA$16,0)</f>
        <v>0</v>
      </c>
      <c r="AB31" s="51"/>
      <c r="AC31" s="131"/>
      <c r="AD31" s="131"/>
      <c r="AE31" s="1"/>
      <c r="AF31" s="49"/>
      <c r="AG31" s="183"/>
      <c r="AH31" s="183"/>
      <c r="AI31" s="153">
        <f>$AA$31</f>
        <v>0</v>
      </c>
      <c r="AJ31" s="153">
        <f>MAX($AI$31-$AJ$16,0)</f>
        <v>0</v>
      </c>
      <c r="AK31" s="51"/>
      <c r="AL31" s="131"/>
      <c r="AM31" s="131"/>
      <c r="AN31" s="1"/>
      <c r="AO31" s="1"/>
    </row>
    <row r="32" spans="2:43" ht="30.75" customHeight="1" x14ac:dyDescent="0.2">
      <c r="B32" s="144" t="s">
        <v>18</v>
      </c>
      <c r="C32" s="78"/>
      <c r="D32" s="78"/>
      <c r="E32" s="78"/>
      <c r="F32" s="83" t="str">
        <f>IF(C32="","",$D$4)</f>
        <v/>
      </c>
      <c r="G32" s="94">
        <f t="shared" ref="G32:G46" si="21">MIN(C32,$D$4)</f>
        <v>0</v>
      </c>
      <c r="H32" s="94" t="e">
        <f t="shared" si="12"/>
        <v>#VALUE!</v>
      </c>
      <c r="I32" s="84" t="str">
        <f t="shared" ref="I32:I46" si="22">IF(C32="","",MAX(ROUNDDOWN($P$3/365,0)-$D$4,0))</f>
        <v/>
      </c>
      <c r="J32" s="94">
        <f t="shared" ref="J32:J46" si="23">MAX(MIN(C32-G32,ROUNDDOWN($P$3/365,0)-G32),0)</f>
        <v>0</v>
      </c>
      <c r="K32" s="94" t="e">
        <f>I32-J32</f>
        <v>#VALUE!</v>
      </c>
      <c r="L32" s="84" t="str">
        <f t="shared" ref="L32:L46" si="24">IF(C32="","",R32+D32+S32+T32-U32)</f>
        <v/>
      </c>
      <c r="M32" s="102" t="e">
        <f t="shared" ref="M32:M46" si="25">MAX(MIN(C32-G32-J32,R32+D32+S32+T32-U32),0)</f>
        <v>#VALUE!</v>
      </c>
      <c r="N32" s="102" t="e">
        <f t="shared" si="10"/>
        <v>#VALUE!</v>
      </c>
      <c r="O32" s="14"/>
      <c r="P32" s="91" t="str">
        <f t="shared" ref="P32:P46" si="26">IF(C32="","",MAX(C32-(F32+I32+L32),0))</f>
        <v/>
      </c>
      <c r="Q32" s="15"/>
      <c r="R32" s="86" t="str">
        <f t="shared" ref="R32:R46" si="27">IF(C32="","",ROUNDDOWN(ROUNDDOWN($P$3/365,0)*$D$5/100,0)+IFERROR(ROUNDDOWN(ROUNDDOWN(T$8/T$9,0)*$D$5/100,0),0))</f>
        <v/>
      </c>
      <c r="S32" s="86" t="str">
        <f t="shared" ref="S32:S46" si="28">IF(C32="","",ROUNDDOWN((MAX(D32-E32-$P$4,0)*$D$6/100),0))</f>
        <v/>
      </c>
      <c r="T32" s="84" t="str">
        <f t="shared" ref="T32:T46" si="29">IF(C32="","",ROUNDDOWN($T$4/$D$3,0)+$T$6)</f>
        <v/>
      </c>
      <c r="U32" s="91" t="str">
        <f t="shared" ref="U32:U46" si="30">IF(C32="","",IF($AA$4="○",ROUNDDOWN((R32+D32+S32+T32)*25/100,0)+ROUNDDOWN(AA$6/$D$3,0),ROUNDDOWN(AA$6/$D$3,0)))</f>
        <v/>
      </c>
      <c r="V32" s="2"/>
      <c r="W32" s="46"/>
      <c r="X32" s="183" t="s">
        <v>53</v>
      </c>
      <c r="Y32" s="183"/>
      <c r="Z32" s="256" t="s">
        <v>62</v>
      </c>
      <c r="AA32" s="183" t="s">
        <v>64</v>
      </c>
      <c r="AB32" s="47"/>
      <c r="AD32" s="4"/>
      <c r="AE32" s="1"/>
      <c r="AF32" s="46"/>
      <c r="AG32" s="183" t="s">
        <v>53</v>
      </c>
      <c r="AH32" s="183"/>
      <c r="AI32" s="183" t="s">
        <v>107</v>
      </c>
      <c r="AJ32" s="183" t="s">
        <v>110</v>
      </c>
      <c r="AK32" s="47"/>
      <c r="AL32" s="4"/>
      <c r="AM32" s="4"/>
      <c r="AN32" s="1"/>
      <c r="AO32" s="1"/>
    </row>
    <row r="33" spans="2:41" ht="30.75" customHeight="1" x14ac:dyDescent="0.2">
      <c r="B33" s="144" t="s">
        <v>35</v>
      </c>
      <c r="C33" s="78"/>
      <c r="D33" s="78"/>
      <c r="E33" s="78"/>
      <c r="F33" s="83" t="str">
        <f t="shared" ref="F33:F45" si="31">IF(C33="","",$D$4)</f>
        <v/>
      </c>
      <c r="G33" s="94">
        <f t="shared" si="21"/>
        <v>0</v>
      </c>
      <c r="H33" s="94" t="e">
        <f t="shared" si="12"/>
        <v>#VALUE!</v>
      </c>
      <c r="I33" s="84" t="str">
        <f t="shared" si="22"/>
        <v/>
      </c>
      <c r="J33" s="94">
        <f t="shared" si="23"/>
        <v>0</v>
      </c>
      <c r="K33" s="94" t="e">
        <f t="shared" si="13"/>
        <v>#VALUE!</v>
      </c>
      <c r="L33" s="84" t="str">
        <f t="shared" si="24"/>
        <v/>
      </c>
      <c r="M33" s="102" t="e">
        <f t="shared" si="25"/>
        <v>#VALUE!</v>
      </c>
      <c r="N33" s="102" t="e">
        <f t="shared" si="10"/>
        <v>#VALUE!</v>
      </c>
      <c r="O33" s="14"/>
      <c r="P33" s="91" t="str">
        <f t="shared" si="26"/>
        <v/>
      </c>
      <c r="Q33" s="15"/>
      <c r="R33" s="86" t="str">
        <f t="shared" si="27"/>
        <v/>
      </c>
      <c r="S33" s="86" t="str">
        <f t="shared" si="28"/>
        <v/>
      </c>
      <c r="T33" s="84" t="str">
        <f t="shared" si="29"/>
        <v/>
      </c>
      <c r="U33" s="91" t="str">
        <f t="shared" si="30"/>
        <v/>
      </c>
      <c r="V33" s="2"/>
      <c r="W33" s="46"/>
      <c r="X33" s="183"/>
      <c r="Y33" s="183"/>
      <c r="Z33" s="256"/>
      <c r="AA33" s="183"/>
      <c r="AB33" s="47"/>
      <c r="AD33" s="4"/>
      <c r="AE33" s="1"/>
      <c r="AF33" s="46"/>
      <c r="AG33" s="183"/>
      <c r="AH33" s="183"/>
      <c r="AI33" s="183"/>
      <c r="AJ33" s="183"/>
      <c r="AK33" s="47"/>
      <c r="AL33" s="4"/>
      <c r="AM33" s="4"/>
      <c r="AN33" s="1"/>
      <c r="AO33" s="1"/>
    </row>
    <row r="34" spans="2:41" ht="30.75" customHeight="1" x14ac:dyDescent="0.2">
      <c r="B34" s="144" t="s">
        <v>36</v>
      </c>
      <c r="C34" s="78"/>
      <c r="D34" s="78"/>
      <c r="E34" s="78"/>
      <c r="F34" s="83" t="str">
        <f t="shared" si="31"/>
        <v/>
      </c>
      <c r="G34" s="94">
        <f t="shared" si="21"/>
        <v>0</v>
      </c>
      <c r="H34" s="94" t="e">
        <f t="shared" si="12"/>
        <v>#VALUE!</v>
      </c>
      <c r="I34" s="84" t="str">
        <f t="shared" si="22"/>
        <v/>
      </c>
      <c r="J34" s="94">
        <f t="shared" si="23"/>
        <v>0</v>
      </c>
      <c r="K34" s="94" t="e">
        <f t="shared" si="13"/>
        <v>#VALUE!</v>
      </c>
      <c r="L34" s="84" t="str">
        <f t="shared" si="24"/>
        <v/>
      </c>
      <c r="M34" s="102" t="e">
        <f t="shared" si="25"/>
        <v>#VALUE!</v>
      </c>
      <c r="N34" s="102" t="e">
        <f t="shared" si="10"/>
        <v>#VALUE!</v>
      </c>
      <c r="O34" s="14"/>
      <c r="P34" s="91" t="str">
        <f t="shared" si="26"/>
        <v/>
      </c>
      <c r="Q34" s="15"/>
      <c r="R34" s="86" t="str">
        <f t="shared" si="27"/>
        <v/>
      </c>
      <c r="S34" s="86" t="str">
        <f t="shared" si="28"/>
        <v/>
      </c>
      <c r="T34" s="84" t="str">
        <f t="shared" si="29"/>
        <v/>
      </c>
      <c r="U34" s="91" t="str">
        <f t="shared" si="30"/>
        <v/>
      </c>
      <c r="V34" s="2"/>
      <c r="W34" s="49"/>
      <c r="X34" s="183"/>
      <c r="Y34" s="183"/>
      <c r="Z34" s="153">
        <f>MAX(ROUNDDOWN($P$3*$D$3/365,0)-$D$4*$D$3,0)</f>
        <v>0</v>
      </c>
      <c r="AA34" s="153">
        <f>MAX($Z$34-$AA$18,0)</f>
        <v>0</v>
      </c>
      <c r="AB34" s="47"/>
      <c r="AD34" s="4"/>
      <c r="AE34" s="1"/>
      <c r="AF34" s="49"/>
      <c r="AG34" s="183"/>
      <c r="AH34" s="183"/>
      <c r="AI34" s="153">
        <f>$AA$34</f>
        <v>0</v>
      </c>
      <c r="AJ34" s="153">
        <f>MAX($AI$34-$AJ$18,0)</f>
        <v>0</v>
      </c>
      <c r="AK34" s="47"/>
      <c r="AL34" s="4"/>
      <c r="AM34" s="4"/>
      <c r="AN34" s="1"/>
      <c r="AO34" s="1"/>
    </row>
    <row r="35" spans="2:41" ht="30.75" customHeight="1" x14ac:dyDescent="0.2">
      <c r="B35" s="144" t="s">
        <v>37</v>
      </c>
      <c r="C35" s="78"/>
      <c r="D35" s="78"/>
      <c r="E35" s="78"/>
      <c r="F35" s="83" t="str">
        <f t="shared" si="31"/>
        <v/>
      </c>
      <c r="G35" s="94">
        <f t="shared" si="21"/>
        <v>0</v>
      </c>
      <c r="H35" s="94" t="e">
        <f t="shared" si="12"/>
        <v>#VALUE!</v>
      </c>
      <c r="I35" s="84" t="str">
        <f t="shared" si="22"/>
        <v/>
      </c>
      <c r="J35" s="94">
        <f t="shared" si="23"/>
        <v>0</v>
      </c>
      <c r="K35" s="94" t="e">
        <f t="shared" si="13"/>
        <v>#VALUE!</v>
      </c>
      <c r="L35" s="84" t="str">
        <f t="shared" si="24"/>
        <v/>
      </c>
      <c r="M35" s="102" t="e">
        <f t="shared" si="25"/>
        <v>#VALUE!</v>
      </c>
      <c r="N35" s="102" t="e">
        <f t="shared" si="10"/>
        <v>#VALUE!</v>
      </c>
      <c r="O35" s="14"/>
      <c r="P35" s="91" t="str">
        <f t="shared" si="26"/>
        <v/>
      </c>
      <c r="Q35" s="15"/>
      <c r="R35" s="86" t="str">
        <f t="shared" si="27"/>
        <v/>
      </c>
      <c r="S35" s="86" t="str">
        <f t="shared" si="28"/>
        <v/>
      </c>
      <c r="T35" s="84" t="str">
        <f t="shared" si="29"/>
        <v/>
      </c>
      <c r="U35" s="91" t="str">
        <f t="shared" si="30"/>
        <v/>
      </c>
      <c r="V35" s="2"/>
      <c r="W35" s="46"/>
      <c r="X35" s="183" t="s">
        <v>57</v>
      </c>
      <c r="Y35" s="183"/>
      <c r="Z35" s="256" t="s">
        <v>115</v>
      </c>
      <c r="AA35" s="183" t="s">
        <v>116</v>
      </c>
      <c r="AB35" s="47"/>
      <c r="AD35" s="4"/>
      <c r="AE35" s="1"/>
      <c r="AF35" s="46"/>
      <c r="AG35" s="183" t="s">
        <v>57</v>
      </c>
      <c r="AH35" s="183"/>
      <c r="AI35" s="183" t="s">
        <v>117</v>
      </c>
      <c r="AJ35" s="183" t="s">
        <v>113</v>
      </c>
      <c r="AK35" s="47"/>
      <c r="AL35" s="4"/>
      <c r="AM35" s="4"/>
      <c r="AN35" s="1"/>
      <c r="AO35" s="1"/>
    </row>
    <row r="36" spans="2:41" ht="30.75" customHeight="1" x14ac:dyDescent="0.2">
      <c r="B36" s="144" t="s">
        <v>38</v>
      </c>
      <c r="C36" s="78"/>
      <c r="D36" s="78"/>
      <c r="E36" s="78"/>
      <c r="F36" s="83" t="str">
        <f t="shared" si="31"/>
        <v/>
      </c>
      <c r="G36" s="94">
        <f t="shared" si="21"/>
        <v>0</v>
      </c>
      <c r="H36" s="94" t="e">
        <f t="shared" si="12"/>
        <v>#VALUE!</v>
      </c>
      <c r="I36" s="84" t="str">
        <f t="shared" si="22"/>
        <v/>
      </c>
      <c r="J36" s="94">
        <f t="shared" si="23"/>
        <v>0</v>
      </c>
      <c r="K36" s="94" t="e">
        <f t="shared" si="13"/>
        <v>#VALUE!</v>
      </c>
      <c r="L36" s="84" t="str">
        <f t="shared" si="24"/>
        <v/>
      </c>
      <c r="M36" s="102" t="e">
        <f t="shared" si="25"/>
        <v>#VALUE!</v>
      </c>
      <c r="N36" s="102" t="e">
        <f t="shared" si="10"/>
        <v>#VALUE!</v>
      </c>
      <c r="O36" s="14"/>
      <c r="P36" s="91" t="str">
        <f t="shared" si="26"/>
        <v/>
      </c>
      <c r="Q36" s="15"/>
      <c r="R36" s="86" t="str">
        <f t="shared" si="27"/>
        <v/>
      </c>
      <c r="S36" s="86" t="str">
        <f t="shared" si="28"/>
        <v/>
      </c>
      <c r="T36" s="84" t="str">
        <f t="shared" si="29"/>
        <v/>
      </c>
      <c r="U36" s="91" t="str">
        <f t="shared" si="30"/>
        <v/>
      </c>
      <c r="V36" s="2"/>
      <c r="W36" s="49"/>
      <c r="X36" s="183"/>
      <c r="Y36" s="183"/>
      <c r="Z36" s="256"/>
      <c r="AA36" s="183"/>
      <c r="AB36" s="50"/>
      <c r="AC36" s="130"/>
      <c r="AD36" s="130"/>
      <c r="AE36" s="1"/>
      <c r="AF36" s="49"/>
      <c r="AG36" s="183"/>
      <c r="AH36" s="183"/>
      <c r="AI36" s="183"/>
      <c r="AJ36" s="183"/>
      <c r="AK36" s="50"/>
      <c r="AL36" s="130"/>
      <c r="AM36" s="130"/>
      <c r="AN36" s="1"/>
      <c r="AO36" s="1"/>
    </row>
    <row r="37" spans="2:41" ht="30.75" customHeight="1" x14ac:dyDescent="0.2">
      <c r="B37" s="144" t="s">
        <v>39</v>
      </c>
      <c r="C37" s="78"/>
      <c r="D37" s="78"/>
      <c r="E37" s="78"/>
      <c r="F37" s="83" t="str">
        <f t="shared" si="31"/>
        <v/>
      </c>
      <c r="G37" s="94">
        <f t="shared" si="21"/>
        <v>0</v>
      </c>
      <c r="H37" s="94" t="e">
        <f t="shared" si="12"/>
        <v>#VALUE!</v>
      </c>
      <c r="I37" s="84" t="str">
        <f t="shared" si="22"/>
        <v/>
      </c>
      <c r="J37" s="94">
        <f t="shared" si="23"/>
        <v>0</v>
      </c>
      <c r="K37" s="94" t="e">
        <f t="shared" si="13"/>
        <v>#VALUE!</v>
      </c>
      <c r="L37" s="84" t="str">
        <f t="shared" si="24"/>
        <v/>
      </c>
      <c r="M37" s="102" t="e">
        <f t="shared" si="25"/>
        <v>#VALUE!</v>
      </c>
      <c r="N37" s="102" t="e">
        <f t="shared" si="10"/>
        <v>#VALUE!</v>
      </c>
      <c r="O37" s="14"/>
      <c r="P37" s="91" t="str">
        <f t="shared" si="26"/>
        <v/>
      </c>
      <c r="Q37" s="15"/>
      <c r="R37" s="86" t="str">
        <f t="shared" si="27"/>
        <v/>
      </c>
      <c r="S37" s="86" t="str">
        <f t="shared" si="28"/>
        <v/>
      </c>
      <c r="T37" s="84" t="str">
        <f t="shared" si="29"/>
        <v/>
      </c>
      <c r="U37" s="91" t="str">
        <f t="shared" si="30"/>
        <v/>
      </c>
      <c r="V37" s="2"/>
      <c r="W37" s="46"/>
      <c r="X37" s="183"/>
      <c r="Y37" s="183"/>
      <c r="Z37" s="153">
        <f>M52-IF(AA4="○",INT(M52*25/100),0)-AA6</f>
        <v>0</v>
      </c>
      <c r="AA37" s="153">
        <f>MAX(Z37-AA20,0)</f>
        <v>0</v>
      </c>
      <c r="AB37" s="47"/>
      <c r="AD37" s="4"/>
      <c r="AE37" s="1"/>
      <c r="AF37" s="46"/>
      <c r="AG37" s="183"/>
      <c r="AH37" s="183"/>
      <c r="AI37" s="153">
        <f>$AA$37</f>
        <v>0</v>
      </c>
      <c r="AJ37" s="153">
        <f>MAX(AI37-$AJ$20,0)</f>
        <v>0</v>
      </c>
      <c r="AK37" s="47"/>
      <c r="AL37" s="4"/>
      <c r="AM37" s="4"/>
      <c r="AN37" s="1"/>
      <c r="AO37" s="1"/>
    </row>
    <row r="38" spans="2:41" ht="30.75" customHeight="1" x14ac:dyDescent="0.2">
      <c r="B38" s="144" t="s">
        <v>40</v>
      </c>
      <c r="C38" s="78"/>
      <c r="D38" s="78"/>
      <c r="E38" s="78"/>
      <c r="F38" s="83" t="str">
        <f t="shared" si="31"/>
        <v/>
      </c>
      <c r="G38" s="94">
        <f t="shared" si="21"/>
        <v>0</v>
      </c>
      <c r="H38" s="94" t="e">
        <f t="shared" si="12"/>
        <v>#VALUE!</v>
      </c>
      <c r="I38" s="84" t="str">
        <f t="shared" si="22"/>
        <v/>
      </c>
      <c r="J38" s="94">
        <f t="shared" si="23"/>
        <v>0</v>
      </c>
      <c r="K38" s="94" t="e">
        <f t="shared" si="13"/>
        <v>#VALUE!</v>
      </c>
      <c r="L38" s="84" t="str">
        <f t="shared" si="24"/>
        <v/>
      </c>
      <c r="M38" s="102" t="e">
        <f t="shared" si="25"/>
        <v>#VALUE!</v>
      </c>
      <c r="N38" s="102" t="e">
        <f t="shared" si="10"/>
        <v>#VALUE!</v>
      </c>
      <c r="O38" s="14"/>
      <c r="P38" s="91" t="str">
        <f t="shared" si="26"/>
        <v/>
      </c>
      <c r="Q38" s="15"/>
      <c r="R38" s="86" t="str">
        <f t="shared" si="27"/>
        <v/>
      </c>
      <c r="S38" s="86" t="str">
        <f t="shared" si="28"/>
        <v/>
      </c>
      <c r="T38" s="84" t="str">
        <f t="shared" si="29"/>
        <v/>
      </c>
      <c r="U38" s="91" t="str">
        <f t="shared" si="30"/>
        <v/>
      </c>
      <c r="V38" s="2"/>
      <c r="W38" s="49"/>
      <c r="X38" s="181" t="s">
        <v>74</v>
      </c>
      <c r="Y38" s="181"/>
      <c r="Z38" s="181"/>
      <c r="AA38" s="182" t="str">
        <f>IF(($AA$20+$AJ$20)&lt;$M$52*50/100,"○","")</f>
        <v/>
      </c>
      <c r="AB38" s="47"/>
      <c r="AD38" s="4"/>
      <c r="AE38" s="1"/>
      <c r="AF38" s="49"/>
      <c r="AG38" s="181" t="s">
        <v>74</v>
      </c>
      <c r="AH38" s="181"/>
      <c r="AI38" s="181"/>
      <c r="AJ38" s="182" t="str">
        <f>IF(($AA$20+$AJ$20)&lt;$M$52*50/100,"○","")</f>
        <v/>
      </c>
      <c r="AK38" s="47"/>
      <c r="AL38" s="4"/>
      <c r="AM38" s="4"/>
      <c r="AN38" s="1"/>
      <c r="AO38" s="1"/>
    </row>
    <row r="39" spans="2:41" ht="30.75" customHeight="1" x14ac:dyDescent="0.2">
      <c r="B39" s="144" t="s">
        <v>41</v>
      </c>
      <c r="C39" s="78"/>
      <c r="D39" s="78"/>
      <c r="E39" s="78"/>
      <c r="F39" s="83" t="str">
        <f t="shared" si="31"/>
        <v/>
      </c>
      <c r="G39" s="94">
        <f t="shared" si="21"/>
        <v>0</v>
      </c>
      <c r="H39" s="94" t="e">
        <f t="shared" si="12"/>
        <v>#VALUE!</v>
      </c>
      <c r="I39" s="84" t="str">
        <f t="shared" si="22"/>
        <v/>
      </c>
      <c r="J39" s="94">
        <f t="shared" si="23"/>
        <v>0</v>
      </c>
      <c r="K39" s="94" t="e">
        <f t="shared" si="13"/>
        <v>#VALUE!</v>
      </c>
      <c r="L39" s="84" t="str">
        <f t="shared" si="24"/>
        <v/>
      </c>
      <c r="M39" s="102" t="e">
        <f t="shared" si="25"/>
        <v>#VALUE!</v>
      </c>
      <c r="N39" s="102" t="e">
        <f t="shared" si="10"/>
        <v>#VALUE!</v>
      </c>
      <c r="O39" s="14"/>
      <c r="P39" s="91" t="str">
        <f t="shared" si="26"/>
        <v/>
      </c>
      <c r="Q39" s="15"/>
      <c r="R39" s="86" t="str">
        <f t="shared" si="27"/>
        <v/>
      </c>
      <c r="S39" s="86" t="str">
        <f t="shared" si="28"/>
        <v/>
      </c>
      <c r="T39" s="84" t="str">
        <f t="shared" si="29"/>
        <v/>
      </c>
      <c r="U39" s="91" t="str">
        <f t="shared" si="30"/>
        <v/>
      </c>
      <c r="V39" s="2"/>
      <c r="W39" s="46"/>
      <c r="X39" s="181"/>
      <c r="Y39" s="181"/>
      <c r="Z39" s="181"/>
      <c r="AA39" s="182"/>
      <c r="AB39" s="47"/>
      <c r="AD39" s="4"/>
      <c r="AE39" s="1"/>
      <c r="AF39" s="46"/>
      <c r="AG39" s="181"/>
      <c r="AH39" s="181"/>
      <c r="AI39" s="181"/>
      <c r="AJ39" s="182"/>
      <c r="AK39" s="47"/>
      <c r="AL39" s="4"/>
      <c r="AM39" s="4"/>
      <c r="AN39" s="1"/>
      <c r="AO39" s="1"/>
    </row>
    <row r="40" spans="2:41" ht="30.75" customHeight="1" thickBot="1" x14ac:dyDescent="0.25">
      <c r="B40" s="144" t="s">
        <v>42</v>
      </c>
      <c r="C40" s="78"/>
      <c r="D40" s="78"/>
      <c r="E40" s="78"/>
      <c r="F40" s="83" t="str">
        <f t="shared" si="31"/>
        <v/>
      </c>
      <c r="G40" s="94">
        <f t="shared" si="21"/>
        <v>0</v>
      </c>
      <c r="H40" s="94" t="e">
        <f t="shared" si="12"/>
        <v>#VALUE!</v>
      </c>
      <c r="I40" s="84" t="str">
        <f t="shared" si="22"/>
        <v/>
      </c>
      <c r="J40" s="94">
        <f t="shared" si="23"/>
        <v>0</v>
      </c>
      <c r="K40" s="94" t="e">
        <f t="shared" si="13"/>
        <v>#VALUE!</v>
      </c>
      <c r="L40" s="84" t="str">
        <f t="shared" si="24"/>
        <v/>
      </c>
      <c r="M40" s="102" t="e">
        <f t="shared" si="25"/>
        <v>#VALUE!</v>
      </c>
      <c r="N40" s="102" t="e">
        <f t="shared" si="10"/>
        <v>#VALUE!</v>
      </c>
      <c r="O40" s="14"/>
      <c r="P40" s="91" t="str">
        <f t="shared" si="26"/>
        <v/>
      </c>
      <c r="Q40" s="15"/>
      <c r="R40" s="86" t="str">
        <f t="shared" si="27"/>
        <v/>
      </c>
      <c r="S40" s="86" t="str">
        <f t="shared" si="28"/>
        <v/>
      </c>
      <c r="T40" s="84" t="str">
        <f t="shared" si="29"/>
        <v/>
      </c>
      <c r="U40" s="91" t="str">
        <f t="shared" si="30"/>
        <v/>
      </c>
      <c r="V40" s="2"/>
      <c r="W40" s="76"/>
      <c r="X40" s="53"/>
      <c r="Y40" s="53"/>
      <c r="Z40" s="53"/>
      <c r="AA40" s="53"/>
      <c r="AB40" s="73"/>
      <c r="AD40" s="4"/>
      <c r="AE40" s="1"/>
      <c r="AF40" s="76"/>
      <c r="AG40" s="53"/>
      <c r="AH40" s="53"/>
      <c r="AI40" s="53"/>
      <c r="AJ40" s="53"/>
      <c r="AK40" s="73"/>
      <c r="AL40" s="4"/>
      <c r="AM40" s="4"/>
      <c r="AN40" s="1"/>
      <c r="AO40" s="1"/>
    </row>
    <row r="41" spans="2:41" ht="30.75" customHeight="1" x14ac:dyDescent="0.2">
      <c r="B41" s="144" t="s">
        <v>43</v>
      </c>
      <c r="C41" s="78"/>
      <c r="D41" s="78"/>
      <c r="E41" s="78"/>
      <c r="F41" s="83" t="str">
        <f t="shared" si="31"/>
        <v/>
      </c>
      <c r="G41" s="94">
        <f t="shared" si="21"/>
        <v>0</v>
      </c>
      <c r="H41" s="94" t="e">
        <f t="shared" si="12"/>
        <v>#VALUE!</v>
      </c>
      <c r="I41" s="84" t="str">
        <f t="shared" si="22"/>
        <v/>
      </c>
      <c r="J41" s="94">
        <f t="shared" si="23"/>
        <v>0</v>
      </c>
      <c r="K41" s="94" t="e">
        <f t="shared" si="13"/>
        <v>#VALUE!</v>
      </c>
      <c r="L41" s="84" t="str">
        <f t="shared" si="24"/>
        <v/>
      </c>
      <c r="M41" s="102" t="e">
        <f t="shared" si="25"/>
        <v>#VALUE!</v>
      </c>
      <c r="N41" s="102" t="e">
        <f t="shared" si="10"/>
        <v>#VALUE!</v>
      </c>
      <c r="O41" s="14"/>
      <c r="P41" s="91" t="str">
        <f t="shared" si="26"/>
        <v/>
      </c>
      <c r="Q41" s="15"/>
      <c r="R41" s="86" t="str">
        <f t="shared" si="27"/>
        <v/>
      </c>
      <c r="S41" s="86" t="str">
        <f t="shared" si="28"/>
        <v/>
      </c>
      <c r="T41" s="84" t="str">
        <f t="shared" si="29"/>
        <v/>
      </c>
      <c r="U41" s="91" t="str">
        <f t="shared" si="30"/>
        <v/>
      </c>
      <c r="V41" s="2"/>
      <c r="W41" s="8"/>
      <c r="X41" s="8"/>
      <c r="Y41" s="8"/>
      <c r="Z41" s="8"/>
      <c r="AA41" s="8"/>
      <c r="AB41" s="4"/>
      <c r="AD41" s="4"/>
      <c r="AE41" s="1"/>
      <c r="AF41" s="150"/>
      <c r="AG41" s="150"/>
      <c r="AH41" s="150"/>
      <c r="AI41" s="150"/>
      <c r="AJ41" s="150"/>
      <c r="AK41" s="151"/>
      <c r="AL41" s="4"/>
      <c r="AM41" s="4"/>
      <c r="AN41" s="1"/>
      <c r="AO41" s="1"/>
    </row>
    <row r="42" spans="2:41" ht="30.75" customHeight="1" x14ac:dyDescent="0.2">
      <c r="B42" s="144" t="s">
        <v>44</v>
      </c>
      <c r="C42" s="78"/>
      <c r="D42" s="78"/>
      <c r="E42" s="78"/>
      <c r="F42" s="83" t="str">
        <f t="shared" si="31"/>
        <v/>
      </c>
      <c r="G42" s="94">
        <f t="shared" si="21"/>
        <v>0</v>
      </c>
      <c r="H42" s="94" t="e">
        <f t="shared" si="12"/>
        <v>#VALUE!</v>
      </c>
      <c r="I42" s="84" t="str">
        <f t="shared" si="22"/>
        <v/>
      </c>
      <c r="J42" s="94">
        <f t="shared" si="23"/>
        <v>0</v>
      </c>
      <c r="K42" s="94" t="e">
        <f t="shared" si="13"/>
        <v>#VALUE!</v>
      </c>
      <c r="L42" s="84" t="str">
        <f t="shared" si="24"/>
        <v/>
      </c>
      <c r="M42" s="102" t="e">
        <f t="shared" si="25"/>
        <v>#VALUE!</v>
      </c>
      <c r="N42" s="102" t="e">
        <f t="shared" si="10"/>
        <v>#VALUE!</v>
      </c>
      <c r="O42" s="14"/>
      <c r="P42" s="91" t="str">
        <f t="shared" si="26"/>
        <v/>
      </c>
      <c r="Q42" s="15"/>
      <c r="R42" s="86" t="str">
        <f t="shared" si="27"/>
        <v/>
      </c>
      <c r="S42" s="86" t="str">
        <f t="shared" si="28"/>
        <v/>
      </c>
      <c r="T42" s="84" t="str">
        <f t="shared" si="29"/>
        <v/>
      </c>
      <c r="U42" s="91" t="str">
        <f t="shared" si="30"/>
        <v/>
      </c>
      <c r="V42" s="2"/>
      <c r="W42" s="8"/>
      <c r="X42" s="8"/>
      <c r="Y42" s="8"/>
      <c r="Z42" s="8"/>
      <c r="AA42" s="8"/>
      <c r="AB42" s="4"/>
      <c r="AD42" s="4"/>
      <c r="AE42" s="1"/>
      <c r="AF42" s="8"/>
      <c r="AG42" s="8"/>
      <c r="AH42" s="8"/>
      <c r="AI42" s="8"/>
      <c r="AJ42" s="8"/>
      <c r="AK42" s="4"/>
      <c r="AL42" s="4"/>
      <c r="AM42" s="4"/>
      <c r="AN42" s="1"/>
      <c r="AO42" s="1"/>
    </row>
    <row r="43" spans="2:41" ht="30.75" customHeight="1" x14ac:dyDescent="0.2">
      <c r="B43" s="144" t="s">
        <v>45</v>
      </c>
      <c r="C43" s="78"/>
      <c r="D43" s="78"/>
      <c r="E43" s="78"/>
      <c r="F43" s="83" t="str">
        <f t="shared" si="31"/>
        <v/>
      </c>
      <c r="G43" s="94">
        <f t="shared" si="21"/>
        <v>0</v>
      </c>
      <c r="H43" s="94" t="e">
        <f t="shared" si="12"/>
        <v>#VALUE!</v>
      </c>
      <c r="I43" s="84" t="str">
        <f t="shared" si="22"/>
        <v/>
      </c>
      <c r="J43" s="94">
        <f t="shared" si="23"/>
        <v>0</v>
      </c>
      <c r="K43" s="94" t="e">
        <f t="shared" si="13"/>
        <v>#VALUE!</v>
      </c>
      <c r="L43" s="84" t="str">
        <f t="shared" si="24"/>
        <v/>
      </c>
      <c r="M43" s="102" t="e">
        <f t="shared" si="25"/>
        <v>#VALUE!</v>
      </c>
      <c r="N43" s="102" t="e">
        <f t="shared" si="10"/>
        <v>#VALUE!</v>
      </c>
      <c r="O43" s="14"/>
      <c r="P43" s="91" t="str">
        <f t="shared" si="26"/>
        <v/>
      </c>
      <c r="Q43" s="15"/>
      <c r="R43" s="86" t="str">
        <f t="shared" si="27"/>
        <v/>
      </c>
      <c r="S43" s="86" t="str">
        <f t="shared" si="28"/>
        <v/>
      </c>
      <c r="T43" s="84" t="str">
        <f t="shared" si="29"/>
        <v/>
      </c>
      <c r="U43" s="91" t="str">
        <f t="shared" si="30"/>
        <v/>
      </c>
      <c r="V43" s="2"/>
      <c r="W43" s="8"/>
      <c r="X43" s="8"/>
      <c r="Y43" s="8"/>
      <c r="Z43" s="8"/>
      <c r="AA43" s="8"/>
      <c r="AB43" s="4"/>
      <c r="AD43" s="4"/>
      <c r="AE43" s="1"/>
      <c r="AF43" s="8"/>
      <c r="AG43" s="8"/>
      <c r="AH43" s="8"/>
      <c r="AI43" s="8"/>
      <c r="AJ43" s="8"/>
      <c r="AK43" s="4"/>
      <c r="AL43" s="4"/>
      <c r="AM43" s="4"/>
      <c r="AN43" s="1"/>
      <c r="AO43" s="1"/>
    </row>
    <row r="44" spans="2:41" ht="30.75" customHeight="1" x14ac:dyDescent="0.2">
      <c r="B44" s="144" t="s">
        <v>46</v>
      </c>
      <c r="C44" s="78"/>
      <c r="D44" s="78"/>
      <c r="E44" s="78"/>
      <c r="F44" s="83" t="str">
        <f t="shared" si="31"/>
        <v/>
      </c>
      <c r="G44" s="94">
        <f t="shared" si="21"/>
        <v>0</v>
      </c>
      <c r="H44" s="94" t="e">
        <f t="shared" si="12"/>
        <v>#VALUE!</v>
      </c>
      <c r="I44" s="84" t="str">
        <f t="shared" si="22"/>
        <v/>
      </c>
      <c r="J44" s="94">
        <f t="shared" si="23"/>
        <v>0</v>
      </c>
      <c r="K44" s="94" t="e">
        <f>I44-J44</f>
        <v>#VALUE!</v>
      </c>
      <c r="L44" s="84" t="str">
        <f t="shared" si="24"/>
        <v/>
      </c>
      <c r="M44" s="102" t="e">
        <f t="shared" si="25"/>
        <v>#VALUE!</v>
      </c>
      <c r="N44" s="102" t="e">
        <f t="shared" si="10"/>
        <v>#VALUE!</v>
      </c>
      <c r="O44" s="14"/>
      <c r="P44" s="91" t="str">
        <f t="shared" si="26"/>
        <v/>
      </c>
      <c r="Q44" s="15"/>
      <c r="R44" s="86" t="str">
        <f t="shared" si="27"/>
        <v/>
      </c>
      <c r="S44" s="86" t="str">
        <f t="shared" si="28"/>
        <v/>
      </c>
      <c r="T44" s="84" t="str">
        <f t="shared" si="29"/>
        <v/>
      </c>
      <c r="U44" s="91" t="str">
        <f t="shared" si="30"/>
        <v/>
      </c>
      <c r="V44" s="2"/>
      <c r="AC44" s="9"/>
      <c r="AD44" s="9"/>
      <c r="AE44" s="1"/>
      <c r="AF44" s="1"/>
      <c r="AL44" s="9"/>
      <c r="AM44" s="9"/>
      <c r="AN44" s="1"/>
      <c r="AO44" s="1"/>
    </row>
    <row r="45" spans="2:41" ht="30.75" customHeight="1" x14ac:dyDescent="0.2">
      <c r="B45" s="144" t="s">
        <v>47</v>
      </c>
      <c r="C45" s="78"/>
      <c r="D45" s="78"/>
      <c r="E45" s="78"/>
      <c r="F45" s="83" t="str">
        <f t="shared" si="31"/>
        <v/>
      </c>
      <c r="G45" s="94">
        <f t="shared" si="21"/>
        <v>0</v>
      </c>
      <c r="H45" s="94" t="e">
        <f t="shared" si="12"/>
        <v>#VALUE!</v>
      </c>
      <c r="I45" s="84" t="str">
        <f t="shared" si="22"/>
        <v/>
      </c>
      <c r="J45" s="94">
        <f t="shared" si="23"/>
        <v>0</v>
      </c>
      <c r="K45" s="94" t="e">
        <f t="shared" si="13"/>
        <v>#VALUE!</v>
      </c>
      <c r="L45" s="84" t="str">
        <f t="shared" si="24"/>
        <v/>
      </c>
      <c r="M45" s="102" t="e">
        <f t="shared" si="25"/>
        <v>#VALUE!</v>
      </c>
      <c r="N45" s="102" t="e">
        <f t="shared" si="10"/>
        <v>#VALUE!</v>
      </c>
      <c r="O45" s="14"/>
      <c r="P45" s="91" t="str">
        <f t="shared" si="26"/>
        <v/>
      </c>
      <c r="Q45" s="15"/>
      <c r="R45" s="86" t="str">
        <f t="shared" si="27"/>
        <v/>
      </c>
      <c r="S45" s="86" t="str">
        <f t="shared" si="28"/>
        <v/>
      </c>
      <c r="T45" s="84" t="str">
        <f t="shared" si="29"/>
        <v/>
      </c>
      <c r="U45" s="91" t="str">
        <f t="shared" si="30"/>
        <v/>
      </c>
      <c r="V45" s="2"/>
      <c r="AC45" s="9"/>
      <c r="AD45" s="9"/>
      <c r="AE45" s="1"/>
      <c r="AF45" s="1"/>
      <c r="AL45" s="9"/>
      <c r="AM45" s="9"/>
      <c r="AN45" s="1"/>
      <c r="AO45" s="1"/>
    </row>
    <row r="46" spans="2:41" ht="30.75" customHeight="1" thickBot="1" x14ac:dyDescent="0.25">
      <c r="B46" s="145" t="s">
        <v>48</v>
      </c>
      <c r="C46" s="81"/>
      <c r="D46" s="81"/>
      <c r="E46" s="81"/>
      <c r="F46" s="83" t="str">
        <f>IF(C46="","",$D$4)</f>
        <v/>
      </c>
      <c r="G46" s="94">
        <f t="shared" si="21"/>
        <v>0</v>
      </c>
      <c r="H46" s="94" t="e">
        <f t="shared" si="12"/>
        <v>#VALUE!</v>
      </c>
      <c r="I46" s="84" t="str">
        <f t="shared" si="22"/>
        <v/>
      </c>
      <c r="J46" s="94">
        <f t="shared" si="23"/>
        <v>0</v>
      </c>
      <c r="K46" s="94" t="e">
        <f t="shared" si="13"/>
        <v>#VALUE!</v>
      </c>
      <c r="L46" s="84" t="str">
        <f t="shared" si="24"/>
        <v/>
      </c>
      <c r="M46" s="102" t="e">
        <f t="shared" si="25"/>
        <v>#VALUE!</v>
      </c>
      <c r="N46" s="102" t="e">
        <f t="shared" si="10"/>
        <v>#VALUE!</v>
      </c>
      <c r="O46" s="14"/>
      <c r="P46" s="91" t="str">
        <f t="shared" si="26"/>
        <v/>
      </c>
      <c r="Q46" s="15"/>
      <c r="R46" s="86" t="str">
        <f t="shared" si="27"/>
        <v/>
      </c>
      <c r="S46" s="86" t="str">
        <f t="shared" si="28"/>
        <v/>
      </c>
      <c r="T46" s="84" t="str">
        <f t="shared" si="29"/>
        <v/>
      </c>
      <c r="U46" s="91" t="str">
        <f t="shared" si="30"/>
        <v/>
      </c>
      <c r="V46" s="2"/>
      <c r="AC46" s="9"/>
      <c r="AD46" s="9"/>
      <c r="AE46" s="1"/>
      <c r="AF46" s="1"/>
      <c r="AL46" s="9"/>
      <c r="AM46" s="9"/>
      <c r="AN46" s="1"/>
      <c r="AO46" s="1"/>
    </row>
    <row r="47" spans="2:41" ht="24" customHeight="1" thickBot="1" x14ac:dyDescent="0.25">
      <c r="B47" s="68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2"/>
      <c r="Q47" s="16"/>
      <c r="R47" s="7"/>
      <c r="S47" s="7"/>
      <c r="T47" s="7"/>
      <c r="U47" s="92"/>
      <c r="V47" s="2"/>
      <c r="AC47" s="9"/>
      <c r="AD47" s="9"/>
      <c r="AE47" s="1"/>
      <c r="AF47" s="1"/>
      <c r="AL47" s="9"/>
      <c r="AM47" s="9"/>
      <c r="AN47" s="1"/>
      <c r="AO47" s="1"/>
    </row>
    <row r="48" spans="2:41" ht="30" customHeight="1" thickBot="1" x14ac:dyDescent="0.25">
      <c r="B48" s="69" t="s">
        <v>8</v>
      </c>
      <c r="C48" s="89">
        <f>SUM(C16:C46)</f>
        <v>0</v>
      </c>
      <c r="D48" s="89">
        <f>SUM(D16:D46)</f>
        <v>0</v>
      </c>
      <c r="E48" s="89">
        <f>SUM(E16:E46)</f>
        <v>0</v>
      </c>
      <c r="F48" s="84">
        <f>SUM(F16:F46)</f>
        <v>0</v>
      </c>
      <c r="G48" s="102">
        <f>MIN(C48,$D$4*$D$3)</f>
        <v>0</v>
      </c>
      <c r="H48" s="103">
        <f>F48-G48</f>
        <v>0</v>
      </c>
      <c r="I48" s="96">
        <f>SUM(I16:I46)</f>
        <v>0</v>
      </c>
      <c r="J48" s="101">
        <f>MAX(MIN(C48-G48,INT(P3*D3/365)-G48),0)</f>
        <v>0</v>
      </c>
      <c r="K48" s="98">
        <f>I48-J48</f>
        <v>0</v>
      </c>
      <c r="L48" s="96">
        <f>SUM(L16:L46)</f>
        <v>0</v>
      </c>
      <c r="M48" s="97">
        <f>MAX(MIN(C48-G48-J48,M52-IF(AA4="○",INT(M52*25/100),0)-AA6))</f>
        <v>0</v>
      </c>
      <c r="N48" s="98">
        <f>L48-M48</f>
        <v>0</v>
      </c>
      <c r="O48" s="17"/>
      <c r="P48" s="93">
        <f>SUM(P16:P46)</f>
        <v>0</v>
      </c>
      <c r="Q48" s="16"/>
      <c r="R48" s="90">
        <f>SUM(R16:R46)</f>
        <v>0</v>
      </c>
      <c r="S48" s="89">
        <f>SUM(S16:S46)</f>
        <v>0</v>
      </c>
      <c r="T48" s="89">
        <f>SUM(T16:T46)</f>
        <v>0</v>
      </c>
      <c r="U48" s="93">
        <f>SUM(U16:U46)</f>
        <v>0</v>
      </c>
      <c r="V48" s="2"/>
      <c r="AC48" s="9"/>
      <c r="AD48" s="9"/>
      <c r="AE48" s="1"/>
      <c r="AF48" s="1"/>
      <c r="AL48" s="9"/>
      <c r="AM48" s="9"/>
      <c r="AN48" s="1"/>
      <c r="AO48" s="1"/>
    </row>
    <row r="49" spans="3:41" ht="29.25" customHeight="1" x14ac:dyDescent="0.2">
      <c r="D49" s="3"/>
      <c r="E49" s="3"/>
      <c r="F49" s="3"/>
      <c r="G49" s="95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  <c r="AC49" s="9"/>
      <c r="AD49" s="9"/>
      <c r="AE49" s="1"/>
      <c r="AF49" s="1"/>
      <c r="AL49" s="9"/>
      <c r="AM49" s="9"/>
      <c r="AN49" s="1"/>
      <c r="AO49" s="1"/>
    </row>
    <row r="50" spans="3:41" ht="21.9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41" ht="21.9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117" t="s">
        <v>82</v>
      </c>
      <c r="N51" s="3"/>
      <c r="O51" s="3"/>
      <c r="P51" s="3"/>
      <c r="Q51" s="3"/>
      <c r="R51" s="3"/>
      <c r="S51" s="3"/>
      <c r="T51" s="3"/>
      <c r="U51" s="3"/>
      <c r="AB51" s="1"/>
      <c r="AC51" s="8"/>
      <c r="AE51" s="1"/>
      <c r="AF51" s="1"/>
      <c r="AN51" s="1"/>
      <c r="AO51" s="1"/>
    </row>
    <row r="52" spans="3:41" ht="21.9" customHeight="1" x14ac:dyDescent="0.2">
      <c r="M52" s="118">
        <f>INT(INT(P3*D3/365)*D5/100)+IFERROR(INT(INT(T8*D3/T9)*D5/100),0)+D48+INT(MAX(D48-E48-P4*D3,0)*D6/100)+T4+T6*D3</f>
        <v>0</v>
      </c>
      <c r="AB52" s="1"/>
      <c r="AC52" s="8"/>
      <c r="AE52" s="1"/>
      <c r="AF52" s="1"/>
      <c r="AN52" s="1"/>
      <c r="AO52" s="1"/>
    </row>
    <row r="53" spans="3:41" ht="21.9" customHeight="1" x14ac:dyDescent="0.2">
      <c r="AB53" s="1"/>
      <c r="AC53" s="8"/>
      <c r="AE53" s="1"/>
      <c r="AF53" s="1"/>
      <c r="AN53" s="1"/>
      <c r="AO53" s="1"/>
    </row>
    <row r="54" spans="3:41" ht="21.9" customHeight="1" x14ac:dyDescent="0.2">
      <c r="AB54" s="1"/>
      <c r="AC54" s="8"/>
      <c r="AE54" s="1"/>
      <c r="AF54" s="1"/>
      <c r="AN54" s="1"/>
      <c r="AO54" s="1"/>
    </row>
    <row r="55" spans="3:41" ht="21.9" customHeight="1" x14ac:dyDescent="0.2">
      <c r="AB55" s="1"/>
      <c r="AC55" s="8"/>
      <c r="AE55" s="1"/>
      <c r="AF55" s="1"/>
      <c r="AN55" s="1"/>
      <c r="AO55" s="1"/>
    </row>
    <row r="56" spans="3:41" ht="21.9" customHeight="1" x14ac:dyDescent="0.2">
      <c r="AB56" s="1"/>
      <c r="AC56" s="8"/>
      <c r="AE56" s="1"/>
      <c r="AF56" s="1"/>
      <c r="AN56" s="1"/>
      <c r="AO56" s="1"/>
    </row>
    <row r="57" spans="3:41" ht="21.9" customHeight="1" x14ac:dyDescent="0.2">
      <c r="AB57" s="1"/>
      <c r="AC57" s="8"/>
      <c r="AE57" s="1"/>
      <c r="AF57" s="1"/>
      <c r="AN57" s="1"/>
      <c r="AO57" s="1"/>
    </row>
    <row r="58" spans="3:41" ht="21.9" customHeight="1" x14ac:dyDescent="0.2">
      <c r="AB58" s="1"/>
      <c r="AC58" s="8"/>
      <c r="AE58" s="1"/>
      <c r="AF58" s="1"/>
      <c r="AN58" s="1"/>
      <c r="AO58" s="1"/>
    </row>
    <row r="59" spans="3:41" ht="21.9" customHeight="1" x14ac:dyDescent="0.2">
      <c r="AB59" s="1"/>
      <c r="AC59" s="8"/>
      <c r="AE59" s="1"/>
      <c r="AF59" s="1"/>
      <c r="AN59" s="1"/>
      <c r="AO59" s="1"/>
    </row>
  </sheetData>
  <sheetProtection algorithmName="SHA-512" hashValue="SvAikenJvIoswiYW+2uA/XTXxAgd8MtfdRmTbpFgl/4ue9ZkDdP++cshbSG6FUYgP1EBoFG6obeM1oWF81Hj1w==" saltValue="YlHfnaSOoGo2b1mfx/PRAw==" spinCount="100000" sheet="1" objects="1" scenarios="1"/>
  <mergeCells count="90">
    <mergeCell ref="M14:M15"/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E14:E15"/>
    <mergeCell ref="G14:G15"/>
    <mergeCell ref="H14:H15"/>
    <mergeCell ref="J14:J15"/>
    <mergeCell ref="K14:K15"/>
    <mergeCell ref="N14:N15"/>
    <mergeCell ref="R14:R15"/>
    <mergeCell ref="S14:S15"/>
    <mergeCell ref="T14:T15"/>
    <mergeCell ref="U14:U15"/>
    <mergeCell ref="AA29:AA30"/>
    <mergeCell ref="AA14:AA15"/>
    <mergeCell ref="Y16:Z17"/>
    <mergeCell ref="AA16:AA17"/>
    <mergeCell ref="Y18:Z19"/>
    <mergeCell ref="AA18:AA19"/>
    <mergeCell ref="Y20:Z21"/>
    <mergeCell ref="AA20:AA21"/>
    <mergeCell ref="X14:Z15"/>
    <mergeCell ref="X38:Z39"/>
    <mergeCell ref="AA38:AA39"/>
    <mergeCell ref="AG12:AJ13"/>
    <mergeCell ref="AG14:AI15"/>
    <mergeCell ref="AJ14:AJ15"/>
    <mergeCell ref="X32:Y34"/>
    <mergeCell ref="Z32:Z33"/>
    <mergeCell ref="AA32:AA33"/>
    <mergeCell ref="X35:Y37"/>
    <mergeCell ref="Z35:Z36"/>
    <mergeCell ref="AA35:AA36"/>
    <mergeCell ref="Y22:Z23"/>
    <mergeCell ref="AA22:AA23"/>
    <mergeCell ref="X27:AA28"/>
    <mergeCell ref="X29:Y31"/>
    <mergeCell ref="Z29:Z30"/>
    <mergeCell ref="AP24:AP25"/>
    <mergeCell ref="AL20:AL21"/>
    <mergeCell ref="AM20:AM21"/>
    <mergeCell ref="AC22:AC23"/>
    <mergeCell ref="AD22:AD23"/>
    <mergeCell ref="AH22:AI23"/>
    <mergeCell ref="AJ22:AJ23"/>
    <mergeCell ref="AL22:AL23"/>
    <mergeCell ref="AM22:AM23"/>
    <mergeCell ref="AC20:AC21"/>
    <mergeCell ref="AD20:AD21"/>
    <mergeCell ref="AH20:AI21"/>
    <mergeCell ref="AJ20:AJ21"/>
    <mergeCell ref="AC24:AC25"/>
    <mergeCell ref="AD24:AD25"/>
    <mergeCell ref="AL24:AL25"/>
    <mergeCell ref="AM24:AM25"/>
    <mergeCell ref="AO24:AO25"/>
    <mergeCell ref="AG11:AJ11"/>
    <mergeCell ref="X11:AA11"/>
    <mergeCell ref="AC18:AC19"/>
    <mergeCell ref="AC16:AC17"/>
    <mergeCell ref="AL16:AL17"/>
    <mergeCell ref="AM16:AM17"/>
    <mergeCell ref="AD18:AD19"/>
    <mergeCell ref="AH18:AI19"/>
    <mergeCell ref="AJ18:AJ19"/>
    <mergeCell ref="AL18:AL19"/>
    <mergeCell ref="AM18:AM19"/>
    <mergeCell ref="AD16:AD17"/>
    <mergeCell ref="AH16:AI17"/>
    <mergeCell ref="AJ16:AJ17"/>
    <mergeCell ref="AG38:AI39"/>
    <mergeCell ref="AJ38:AJ39"/>
    <mergeCell ref="AG35:AH37"/>
    <mergeCell ref="AI35:AI36"/>
    <mergeCell ref="AJ35:AJ36"/>
    <mergeCell ref="AG32:AH34"/>
    <mergeCell ref="AI32:AI33"/>
    <mergeCell ref="AJ32:AJ33"/>
    <mergeCell ref="AG27:AJ28"/>
    <mergeCell ref="AG29:AH31"/>
    <mergeCell ref="AI29:AI30"/>
    <mergeCell ref="AJ29:AJ30"/>
  </mergeCells>
  <phoneticPr fontId="2"/>
  <dataValidations count="5">
    <dataValidation type="custom" allowBlank="1" showInputMessage="1" showErrorMessage="1" sqref="D5:D6">
      <formula1>AND(0&lt;=D5,D5&lt;=100,ROUNDDOWN(D5,1)=D5)</formula1>
    </dataValidation>
    <dataValidation type="whole" allowBlank="1" showInputMessage="1" showErrorMessage="1" sqref="T9">
      <formula1>1</formula1>
      <formula2>366</formula2>
    </dataValidation>
    <dataValidation type="whole" allowBlank="1" showInputMessage="1" showErrorMessage="1" sqref="T10 D3">
      <formula1>1</formula1>
      <formula2>31</formula2>
    </dataValidation>
    <dataValidation type="whole" operator="greaterThanOrEqual" allowBlank="1" showInputMessage="1" showErrorMessage="1" sqref="C16:E46 P3:P4 AA6 T4 T6 T8 D4">
      <formula1>0</formula1>
    </dataValidation>
    <dataValidation type="list" allowBlank="1" showInputMessage="1" showErrorMessage="1" sqref="AA4">
      <formula1>"○"</formula1>
    </dataValidation>
  </dataValidations>
  <pageMargins left="0.19685039370078741" right="0.23622047244094491" top="0.15748031496062992" bottom="0.19685039370078741" header="0.31496062992125984" footer="0.19685039370078741"/>
  <pageSetup paperSize="8" scale="41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AY59"/>
  <sheetViews>
    <sheetView view="pageBreakPreview" zoomScale="40" zoomScaleNormal="90" zoomScaleSheetLayoutView="40" workbookViewId="0">
      <selection activeCell="AA4" sqref="AA4"/>
    </sheetView>
  </sheetViews>
  <sheetFormatPr defaultColWidth="9" defaultRowHeight="21.9" customHeight="1" x14ac:dyDescent="0.2"/>
  <cols>
    <col min="1" max="1" width="1.4140625" style="1" customWidth="1"/>
    <col min="2" max="2" width="8" style="1" customWidth="1"/>
    <col min="3" max="3" width="23.4140625" style="1" customWidth="1"/>
    <col min="4" max="4" width="23.6640625" style="1" customWidth="1"/>
    <col min="5" max="5" width="23.6640625" style="1" hidden="1" customWidth="1"/>
    <col min="6" max="6" width="29.33203125" style="1" customWidth="1"/>
    <col min="7" max="8" width="17.6640625" style="1" hidden="1" customWidth="1"/>
    <col min="9" max="9" width="28.33203125" style="1" customWidth="1"/>
    <col min="10" max="10" width="17.33203125" style="1" hidden="1" customWidth="1"/>
    <col min="11" max="11" width="17.6640625" style="1" hidden="1" customWidth="1"/>
    <col min="12" max="12" width="28.33203125" style="1" customWidth="1"/>
    <col min="13" max="14" width="17.33203125" style="1" hidden="1" customWidth="1"/>
    <col min="15" max="15" width="3.6640625" style="4" customWidth="1"/>
    <col min="16" max="16" width="28.33203125" style="1" customWidth="1"/>
    <col min="17" max="17" width="3.6640625" style="4" customWidth="1"/>
    <col min="18" max="21" width="28.33203125" style="1" customWidth="1"/>
    <col min="22" max="22" width="4.08203125" style="1" customWidth="1"/>
    <col min="23" max="23" width="3.25" style="1" customWidth="1"/>
    <col min="24" max="24" width="2" style="1" customWidth="1"/>
    <col min="25" max="25" width="13.25" style="1" customWidth="1"/>
    <col min="26" max="26" width="30.33203125" style="1" customWidth="1"/>
    <col min="27" max="27" width="27.9140625" style="1" customWidth="1"/>
    <col min="28" max="28" width="3.25" style="9" customWidth="1"/>
    <col min="29" max="29" width="16.9140625" style="4" hidden="1" customWidth="1"/>
    <col min="30" max="30" width="30.08203125" style="1" hidden="1" customWidth="1"/>
    <col min="31" max="31" width="4.4140625" style="9" customWidth="1"/>
    <col min="32" max="32" width="3.25" style="9" customWidth="1"/>
    <col min="33" max="33" width="2" style="1" customWidth="1"/>
    <col min="34" max="34" width="13.25" style="1" customWidth="1"/>
    <col min="35" max="35" width="30.33203125" style="1" customWidth="1"/>
    <col min="36" max="36" width="27.9140625" style="1" customWidth="1"/>
    <col min="37" max="37" width="3.25" style="1" customWidth="1"/>
    <col min="38" max="38" width="16.9140625" style="1" hidden="1" customWidth="1"/>
    <col min="39" max="39" width="30.08203125" style="1" hidden="1" customWidth="1"/>
    <col min="40" max="40" width="9.08203125" style="9" hidden="1" customWidth="1"/>
    <col min="41" max="41" width="16.9140625" style="9" hidden="1" customWidth="1"/>
    <col min="42" max="42" width="30.08203125" style="1" hidden="1" customWidth="1"/>
    <col min="43" max="43" width="10.6640625" style="1" hidden="1" customWidth="1"/>
    <col min="44" max="44" width="4.75" customWidth="1"/>
    <col min="52" max="16384" width="9" style="1"/>
  </cols>
  <sheetData>
    <row r="1" spans="1:41" s="30" customFormat="1" ht="60" customHeight="1" x14ac:dyDescent="0.2">
      <c r="A1" s="227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146"/>
      <c r="AE1" s="119"/>
      <c r="AF1" s="119"/>
      <c r="AN1" s="119"/>
      <c r="AO1" s="119"/>
    </row>
    <row r="2" spans="1:41" s="30" customFormat="1" ht="33" thickBot="1" x14ac:dyDescent="0.25">
      <c r="A2" s="34"/>
      <c r="B2" s="61" t="s">
        <v>83</v>
      </c>
      <c r="C2" s="58"/>
      <c r="D2" s="36"/>
      <c r="E2" s="36"/>
      <c r="F2" s="36"/>
      <c r="G2" s="34"/>
      <c r="H2" s="34"/>
      <c r="I2" s="62" t="s">
        <v>84</v>
      </c>
      <c r="J2" s="37"/>
      <c r="K2" s="37"/>
      <c r="L2" s="37"/>
      <c r="M2" s="37"/>
      <c r="N2" s="37"/>
      <c r="O2" s="37"/>
      <c r="P2" s="37"/>
      <c r="Q2" s="37"/>
      <c r="R2" s="63" t="s">
        <v>87</v>
      </c>
      <c r="S2" s="39"/>
      <c r="T2" s="40"/>
      <c r="U2" s="40"/>
      <c r="V2" s="40"/>
      <c r="W2" s="40"/>
      <c r="X2" s="40"/>
      <c r="Y2" s="40"/>
      <c r="Z2" s="40"/>
      <c r="AA2" s="40"/>
      <c r="AB2" s="40"/>
      <c r="AC2" s="147"/>
      <c r="AD2" s="119"/>
      <c r="AE2" s="120"/>
      <c r="AF2" s="120"/>
      <c r="AN2" s="120"/>
      <c r="AO2" s="120"/>
    </row>
    <row r="3" spans="1:41" ht="20.5" thickBot="1" x14ac:dyDescent="0.25">
      <c r="B3" s="60" t="s">
        <v>14</v>
      </c>
      <c r="D3" s="156">
        <v>31</v>
      </c>
      <c r="E3" s="31" t="s">
        <v>0</v>
      </c>
      <c r="F3" s="31" t="s">
        <v>0</v>
      </c>
      <c r="I3" s="60" t="s">
        <v>85</v>
      </c>
      <c r="J3" s="99"/>
      <c r="K3" s="99"/>
      <c r="O3" s="56"/>
      <c r="P3" s="160">
        <v>22173519873</v>
      </c>
      <c r="Q3" s="32" t="s">
        <v>6</v>
      </c>
      <c r="R3" s="65" t="s">
        <v>54</v>
      </c>
      <c r="S3" s="35"/>
      <c r="T3" s="38"/>
      <c r="V3" s="67" t="s">
        <v>71</v>
      </c>
      <c r="W3" s="67"/>
      <c r="X3" s="67"/>
      <c r="Y3" s="67"/>
      <c r="Z3" s="67"/>
      <c r="AD3" s="8"/>
    </row>
    <row r="4" spans="1:41" ht="20.5" thickBot="1" x14ac:dyDescent="0.25">
      <c r="B4" s="60" t="s">
        <v>15</v>
      </c>
      <c r="D4" s="157">
        <v>4394854</v>
      </c>
      <c r="E4" s="31" t="s">
        <v>6</v>
      </c>
      <c r="F4" s="31" t="s">
        <v>6</v>
      </c>
      <c r="I4" s="59" t="s">
        <v>86</v>
      </c>
      <c r="J4" s="99"/>
      <c r="K4" s="99"/>
      <c r="O4" s="56"/>
      <c r="P4" s="161">
        <v>100000000</v>
      </c>
      <c r="Q4" s="32" t="s">
        <v>6</v>
      </c>
      <c r="R4" s="66" t="s">
        <v>88</v>
      </c>
      <c r="S4" s="41"/>
      <c r="T4" s="162"/>
      <c r="U4" s="33" t="s">
        <v>6</v>
      </c>
      <c r="V4" s="66" t="s">
        <v>93</v>
      </c>
      <c r="W4" s="67"/>
      <c r="X4" s="67"/>
      <c r="Y4" s="67"/>
      <c r="Z4" s="67"/>
      <c r="AA4" s="165"/>
      <c r="AB4" s="33"/>
      <c r="AC4" s="32"/>
      <c r="AD4" s="4"/>
      <c r="AE4" s="1"/>
      <c r="AF4" s="1"/>
      <c r="AN4" s="1"/>
      <c r="AO4" s="1"/>
    </row>
    <row r="5" spans="1:41" ht="20.5" thickBot="1" x14ac:dyDescent="0.25">
      <c r="B5" s="60" t="s">
        <v>16</v>
      </c>
      <c r="D5" s="158">
        <v>30.5</v>
      </c>
      <c r="E5" s="31" t="s">
        <v>1</v>
      </c>
      <c r="F5" s="31" t="s">
        <v>1</v>
      </c>
      <c r="I5" s="27"/>
      <c r="J5" s="26"/>
      <c r="K5" s="26"/>
      <c r="L5" s="28"/>
      <c r="M5" s="26"/>
      <c r="N5" s="26"/>
      <c r="O5" s="11"/>
      <c r="R5" s="66" t="s">
        <v>49</v>
      </c>
      <c r="S5" s="41"/>
      <c r="T5" s="23"/>
      <c r="V5" s="67" t="s">
        <v>72</v>
      </c>
      <c r="W5" s="9"/>
      <c r="X5" s="9"/>
      <c r="Y5" s="9"/>
      <c r="Z5" s="9"/>
      <c r="AA5" s="9"/>
      <c r="AD5" s="4"/>
      <c r="AE5" s="1"/>
      <c r="AF5" s="1"/>
      <c r="AN5" s="1"/>
      <c r="AO5" s="1"/>
    </row>
    <row r="6" spans="1:41" ht="20.5" thickBot="1" x14ac:dyDescent="0.25">
      <c r="B6" s="64" t="s">
        <v>17</v>
      </c>
      <c r="D6" s="159">
        <v>100</v>
      </c>
      <c r="E6" s="31" t="s">
        <v>1</v>
      </c>
      <c r="F6" s="31" t="s">
        <v>1</v>
      </c>
      <c r="G6" s="26"/>
      <c r="H6" s="26"/>
      <c r="I6" s="27"/>
      <c r="J6" s="26"/>
      <c r="K6" s="26"/>
      <c r="L6" s="28"/>
      <c r="M6" s="26"/>
      <c r="N6" s="26"/>
      <c r="O6" s="11"/>
      <c r="R6" s="66" t="s">
        <v>89</v>
      </c>
      <c r="S6" s="41"/>
      <c r="T6" s="162"/>
      <c r="U6" s="33" t="s">
        <v>6</v>
      </c>
      <c r="V6" s="66" t="s">
        <v>94</v>
      </c>
      <c r="W6" s="67"/>
      <c r="X6" s="67"/>
      <c r="Y6" s="67"/>
      <c r="Z6" s="67"/>
      <c r="AA6" s="162"/>
      <c r="AB6" s="33" t="s">
        <v>6</v>
      </c>
      <c r="AC6" s="32"/>
      <c r="AD6" s="4"/>
      <c r="AE6" s="1"/>
      <c r="AF6" s="1"/>
      <c r="AN6" s="1"/>
      <c r="AO6" s="1"/>
    </row>
    <row r="7" spans="1:41" s="9" customFormat="1" ht="29.25" customHeight="1" thickBot="1" x14ac:dyDescent="0.25">
      <c r="B7" s="64"/>
      <c r="D7" s="155"/>
      <c r="E7" s="55"/>
      <c r="F7" s="33"/>
      <c r="G7" s="26"/>
      <c r="H7" s="26"/>
      <c r="I7" s="27"/>
      <c r="J7" s="26"/>
      <c r="K7" s="26"/>
      <c r="L7" s="28"/>
      <c r="M7" s="26"/>
      <c r="N7" s="26"/>
      <c r="O7" s="11"/>
      <c r="Q7" s="4"/>
      <c r="R7" s="67" t="s">
        <v>50</v>
      </c>
      <c r="S7" s="67"/>
      <c r="T7" s="67"/>
      <c r="U7" s="67"/>
      <c r="AC7" s="4"/>
    </row>
    <row r="8" spans="1:41" s="9" customFormat="1" ht="29.25" customHeight="1" x14ac:dyDescent="0.2">
      <c r="B8" s="64"/>
      <c r="D8" s="155"/>
      <c r="E8" s="55"/>
      <c r="F8" s="33"/>
      <c r="G8" s="26"/>
      <c r="H8" s="26"/>
      <c r="I8" s="27"/>
      <c r="J8" s="26"/>
      <c r="K8" s="26"/>
      <c r="L8" s="28"/>
      <c r="M8" s="26"/>
      <c r="N8" s="26"/>
      <c r="O8" s="11"/>
      <c r="Q8" s="4"/>
      <c r="R8" s="66" t="s">
        <v>90</v>
      </c>
      <c r="S8" s="67"/>
      <c r="T8" s="163"/>
      <c r="U8" s="33" t="s">
        <v>6</v>
      </c>
      <c r="AC8" s="4"/>
    </row>
    <row r="9" spans="1:41" s="9" customFormat="1" ht="29.15" customHeight="1" thickBot="1" x14ac:dyDescent="0.25">
      <c r="B9" s="64"/>
      <c r="D9" s="155"/>
      <c r="E9" s="55"/>
      <c r="F9" s="33"/>
      <c r="G9" s="26"/>
      <c r="H9" s="26"/>
      <c r="I9" s="27"/>
      <c r="J9" s="26"/>
      <c r="K9" s="26"/>
      <c r="L9" s="28"/>
      <c r="M9" s="26"/>
      <c r="N9" s="26"/>
      <c r="O9" s="11"/>
      <c r="Q9" s="4"/>
      <c r="R9" s="66" t="s">
        <v>91</v>
      </c>
      <c r="S9" s="67"/>
      <c r="T9" s="164"/>
      <c r="U9" s="33" t="s">
        <v>12</v>
      </c>
      <c r="AC9" s="4"/>
    </row>
    <row r="10" spans="1:41" s="9" customFormat="1" ht="0.75" customHeight="1" x14ac:dyDescent="0.2">
      <c r="B10" s="64"/>
      <c r="D10" s="155"/>
      <c r="E10" s="55"/>
      <c r="F10" s="33"/>
      <c r="G10" s="26"/>
      <c r="H10" s="26"/>
      <c r="I10" s="27"/>
      <c r="J10" s="26"/>
      <c r="K10" s="26"/>
      <c r="L10" s="28"/>
      <c r="M10" s="26"/>
      <c r="N10" s="26"/>
      <c r="O10" s="11"/>
      <c r="Q10" s="4"/>
      <c r="R10" s="66"/>
      <c r="S10" s="67"/>
      <c r="T10" s="87"/>
      <c r="U10" s="33"/>
      <c r="AC10" s="4"/>
    </row>
    <row r="11" spans="1:41" s="9" customFormat="1" ht="29.25" customHeight="1" thickBot="1" x14ac:dyDescent="0.25">
      <c r="B11" s="64"/>
      <c r="D11" s="155"/>
      <c r="E11" s="55"/>
      <c r="F11" s="33"/>
      <c r="G11" s="26"/>
      <c r="H11" s="26"/>
      <c r="I11" s="27"/>
      <c r="J11" s="26"/>
      <c r="K11" s="26"/>
      <c r="L11" s="28"/>
      <c r="M11" s="26"/>
      <c r="N11" s="26"/>
      <c r="O11" s="11"/>
      <c r="Q11" s="4"/>
      <c r="V11" s="67"/>
      <c r="X11" s="219" t="s">
        <v>95</v>
      </c>
      <c r="Y11" s="219"/>
      <c r="Z11" s="219"/>
      <c r="AA11" s="219"/>
      <c r="AB11" s="148"/>
      <c r="AG11" s="219" t="s">
        <v>96</v>
      </c>
      <c r="AH11" s="220"/>
      <c r="AI11" s="220"/>
      <c r="AJ11" s="220"/>
    </row>
    <row r="12" spans="1:41" ht="24" customHeight="1" x14ac:dyDescent="0.2">
      <c r="C12" s="20"/>
      <c r="D12" s="22"/>
      <c r="E12" s="22"/>
      <c r="F12" s="21"/>
      <c r="G12" s="21"/>
      <c r="H12" s="21"/>
      <c r="I12" s="20"/>
      <c r="J12" s="19"/>
      <c r="K12" s="19"/>
      <c r="L12" s="21"/>
      <c r="M12" s="21"/>
      <c r="N12" s="21"/>
      <c r="O12" s="5"/>
      <c r="P12" s="20"/>
      <c r="Q12" s="5"/>
      <c r="U12" s="54" t="s">
        <v>7</v>
      </c>
      <c r="W12" s="44"/>
      <c r="X12" s="228" t="s">
        <v>97</v>
      </c>
      <c r="Y12" s="228"/>
      <c r="Z12" s="228"/>
      <c r="AA12" s="228"/>
      <c r="AB12" s="45"/>
      <c r="AD12" s="4"/>
      <c r="AE12" s="1"/>
      <c r="AF12" s="44"/>
      <c r="AG12" s="186" t="s">
        <v>98</v>
      </c>
      <c r="AH12" s="186"/>
      <c r="AI12" s="186"/>
      <c r="AJ12" s="186"/>
      <c r="AK12" s="45"/>
      <c r="AL12" s="4"/>
      <c r="AM12" s="4"/>
      <c r="AN12" s="1"/>
      <c r="AO12" s="1"/>
    </row>
    <row r="13" spans="1:41" ht="29.25" customHeight="1" thickBot="1" x14ac:dyDescent="0.25">
      <c r="B13" s="230" t="s">
        <v>2</v>
      </c>
      <c r="C13" s="231" t="s">
        <v>70</v>
      </c>
      <c r="D13" s="234" t="s">
        <v>78</v>
      </c>
      <c r="E13" s="116" t="s">
        <v>80</v>
      </c>
      <c r="F13" s="234" t="s">
        <v>69</v>
      </c>
      <c r="G13" s="42"/>
      <c r="H13" s="43"/>
      <c r="I13" s="237" t="s">
        <v>68</v>
      </c>
      <c r="J13" s="42"/>
      <c r="K13" s="43"/>
      <c r="L13" s="240" t="s">
        <v>67</v>
      </c>
      <c r="M13" s="42"/>
      <c r="N13" s="43"/>
      <c r="O13" s="12"/>
      <c r="P13" s="240" t="s">
        <v>77</v>
      </c>
      <c r="Q13" s="6"/>
      <c r="R13" s="242" t="s">
        <v>76</v>
      </c>
      <c r="S13" s="243"/>
      <c r="T13" s="243"/>
      <c r="U13" s="244"/>
      <c r="W13" s="57"/>
      <c r="X13" s="229"/>
      <c r="Y13" s="229"/>
      <c r="Z13" s="229"/>
      <c r="AA13" s="229"/>
      <c r="AB13" s="47"/>
      <c r="AC13" s="9"/>
      <c r="AD13" s="9"/>
      <c r="AE13" s="121"/>
      <c r="AF13" s="57"/>
      <c r="AG13" s="187"/>
      <c r="AH13" s="187"/>
      <c r="AI13" s="187"/>
      <c r="AJ13" s="187"/>
      <c r="AK13" s="47"/>
      <c r="AL13" s="121"/>
      <c r="AM13" s="121"/>
      <c r="AN13" s="1"/>
      <c r="AO13" s="1"/>
    </row>
    <row r="14" spans="1:41" ht="29.25" customHeight="1" x14ac:dyDescent="0.2">
      <c r="B14" s="230"/>
      <c r="C14" s="232"/>
      <c r="D14" s="235"/>
      <c r="E14" s="245" t="s">
        <v>81</v>
      </c>
      <c r="F14" s="235"/>
      <c r="G14" s="247" t="s">
        <v>3</v>
      </c>
      <c r="H14" s="247" t="s">
        <v>9</v>
      </c>
      <c r="I14" s="238"/>
      <c r="J14" s="247" t="s">
        <v>4</v>
      </c>
      <c r="K14" s="247" t="s">
        <v>9</v>
      </c>
      <c r="L14" s="241"/>
      <c r="M14" s="225" t="s">
        <v>5</v>
      </c>
      <c r="N14" s="247" t="s">
        <v>9</v>
      </c>
      <c r="O14" s="10"/>
      <c r="P14" s="240"/>
      <c r="Q14" s="29"/>
      <c r="R14" s="249" t="s">
        <v>51</v>
      </c>
      <c r="S14" s="251" t="s">
        <v>92</v>
      </c>
      <c r="T14" s="251" t="s">
        <v>55</v>
      </c>
      <c r="U14" s="251" t="s">
        <v>75</v>
      </c>
      <c r="W14" s="46"/>
      <c r="X14" s="221" t="s">
        <v>66</v>
      </c>
      <c r="Y14" s="222"/>
      <c r="Z14" s="222"/>
      <c r="AA14" s="215">
        <f>SUM(C16:C20)</f>
        <v>4670023560</v>
      </c>
      <c r="AB14" s="47"/>
      <c r="AC14" s="121"/>
      <c r="AD14" s="121"/>
      <c r="AE14" s="121"/>
      <c r="AF14" s="46"/>
      <c r="AG14" s="221" t="s">
        <v>66</v>
      </c>
      <c r="AH14" s="222"/>
      <c r="AI14" s="222"/>
      <c r="AJ14" s="215">
        <f>SUM(C21:C46)</f>
        <v>20664122512</v>
      </c>
      <c r="AK14" s="47"/>
      <c r="AL14" s="121"/>
      <c r="AM14" s="121"/>
      <c r="AN14" s="1"/>
      <c r="AO14" s="1"/>
    </row>
    <row r="15" spans="1:41" ht="30" customHeight="1" thickBot="1" x14ac:dyDescent="0.25">
      <c r="B15" s="230"/>
      <c r="C15" s="233"/>
      <c r="D15" s="236"/>
      <c r="E15" s="246"/>
      <c r="F15" s="236"/>
      <c r="G15" s="248"/>
      <c r="H15" s="248"/>
      <c r="I15" s="239"/>
      <c r="J15" s="248"/>
      <c r="K15" s="248"/>
      <c r="L15" s="241"/>
      <c r="M15" s="226"/>
      <c r="N15" s="248"/>
      <c r="O15" s="10"/>
      <c r="P15" s="240"/>
      <c r="Q15" s="29"/>
      <c r="R15" s="250"/>
      <c r="S15" s="252"/>
      <c r="T15" s="253"/>
      <c r="U15" s="253"/>
      <c r="W15" s="46"/>
      <c r="X15" s="223"/>
      <c r="Y15" s="224"/>
      <c r="Z15" s="224"/>
      <c r="AA15" s="216"/>
      <c r="AB15" s="47"/>
      <c r="AC15" s="123" t="s">
        <v>99</v>
      </c>
      <c r="AD15" s="123" t="s">
        <v>100</v>
      </c>
      <c r="AE15" s="121"/>
      <c r="AF15" s="46"/>
      <c r="AG15" s="223"/>
      <c r="AH15" s="224"/>
      <c r="AI15" s="224"/>
      <c r="AJ15" s="216"/>
      <c r="AK15" s="47"/>
      <c r="AL15" s="122" t="s">
        <v>99</v>
      </c>
      <c r="AM15" s="123" t="s">
        <v>100</v>
      </c>
      <c r="AN15" s="1"/>
      <c r="AO15" s="1"/>
    </row>
    <row r="16" spans="1:41" ht="30.75" customHeight="1" x14ac:dyDescent="0.2">
      <c r="B16" s="141" t="s">
        <v>19</v>
      </c>
      <c r="C16" s="166">
        <v>934004712</v>
      </c>
      <c r="D16" s="166">
        <v>400000000</v>
      </c>
      <c r="E16" s="80"/>
      <c r="F16" s="83">
        <f>IF(C16="","",$D$4)</f>
        <v>4394854</v>
      </c>
      <c r="G16" s="94">
        <f>MIN(C16,$D$4)</f>
        <v>4394854</v>
      </c>
      <c r="H16" s="94">
        <f>F16-G16</f>
        <v>0</v>
      </c>
      <c r="I16" s="84">
        <f>IF(C16="","",MAX(ROUNDDOWN($P$3/365,0)-$D$4,0))</f>
        <v>56354515</v>
      </c>
      <c r="J16" s="94">
        <f>MAX(MIN(C16-G16,ROUNDDOWN($P$3/365,0)-G16),0)</f>
        <v>56354515</v>
      </c>
      <c r="K16" s="94">
        <f>I16-J16</f>
        <v>0</v>
      </c>
      <c r="L16" s="84">
        <f>IF(C16="","",R16+D16+S16+T16-U16)</f>
        <v>718528557</v>
      </c>
      <c r="M16" s="102">
        <f>MAX(MIN(C16-G16-J16,R16+D16+S16+T16-U16),0)</f>
        <v>718528557</v>
      </c>
      <c r="N16" s="102">
        <f>L16-M16</f>
        <v>0</v>
      </c>
      <c r="O16" s="14"/>
      <c r="P16" s="91">
        <f>IF(C16="","",MAX(C16-(F16+I16+L16),0))</f>
        <v>154726786</v>
      </c>
      <c r="Q16" s="15"/>
      <c r="R16" s="86">
        <f>IF(C16="","",ROUNDDOWN(ROUNDDOWN($P$3/365,0)*$D$5/100,0)+IFERROR(ROUNDDOWN(ROUNDDOWN(T$8/T$9,0)*$D$5/100,0),0))</f>
        <v>18528557</v>
      </c>
      <c r="S16" s="86">
        <f>IF(C16="","",ROUNDDOWN((MAX(D16-E16-$P$4,0)*$D$6/100),0))</f>
        <v>300000000</v>
      </c>
      <c r="T16" s="84">
        <f>IF(C16="","",ROUNDDOWN($T$4/$D$3,0)+$T$6)</f>
        <v>0</v>
      </c>
      <c r="U16" s="91">
        <f>IF(C16="","",IF($AA$4="○",ROUNDDOWN((R16+D16+S16+T16)*25/100,0)+ROUNDDOWN(AA$6/$D$3,0),ROUNDDOWN(AA$6/$D$3,0)))</f>
        <v>0</v>
      </c>
      <c r="V16" s="2"/>
      <c r="W16" s="46"/>
      <c r="X16" s="70"/>
      <c r="Y16" s="211" t="s">
        <v>73</v>
      </c>
      <c r="Z16" s="212"/>
      <c r="AA16" s="215">
        <f>MIN($G$48,$AA$14)</f>
        <v>136240474</v>
      </c>
      <c r="AB16" s="47"/>
      <c r="AC16" s="209">
        <v>0</v>
      </c>
      <c r="AD16" s="190">
        <f>ROUNDDOWN(AA16*AC16/36500,0)</f>
        <v>0</v>
      </c>
      <c r="AE16" s="121"/>
      <c r="AF16" s="46"/>
      <c r="AG16" s="70"/>
      <c r="AH16" s="211" t="s">
        <v>104</v>
      </c>
      <c r="AI16" s="212"/>
      <c r="AJ16" s="215">
        <f>IF(AI31=0,0,MIN(AI31,AJ14))</f>
        <v>0</v>
      </c>
      <c r="AK16" s="47"/>
      <c r="AL16" s="217">
        <v>0</v>
      </c>
      <c r="AM16" s="195">
        <f t="shared" ref="AM16" si="0">ROUNDDOWN(AJ16*AL16/36500,0)</f>
        <v>0</v>
      </c>
      <c r="AN16" s="1"/>
      <c r="AO16" s="1"/>
    </row>
    <row r="17" spans="2:43" ht="30.75" customHeight="1" thickBot="1" x14ac:dyDescent="0.25">
      <c r="B17" s="141" t="s">
        <v>20</v>
      </c>
      <c r="C17" s="157">
        <v>934004712</v>
      </c>
      <c r="D17" s="157">
        <v>400000000</v>
      </c>
      <c r="E17" s="78"/>
      <c r="F17" s="83">
        <f>IF(C17="","",$D$4)</f>
        <v>4394854</v>
      </c>
      <c r="G17" s="94">
        <f>MIN(C17,$D$4)</f>
        <v>4394854</v>
      </c>
      <c r="H17" s="94">
        <f>F17-G17</f>
        <v>0</v>
      </c>
      <c r="I17" s="84">
        <f>IF(C17="","",MAX(ROUNDDOWN($P$3/365,0)-$D$4,0))</f>
        <v>56354515</v>
      </c>
      <c r="J17" s="94">
        <f>MAX(MIN(C17-G17,ROUNDDOWN($P$3/365,0)-G17),0)</f>
        <v>56354515</v>
      </c>
      <c r="K17" s="94">
        <f>I17-J17</f>
        <v>0</v>
      </c>
      <c r="L17" s="84">
        <f>IF(C17="","",R17+D17+S17+T17-U17)</f>
        <v>718528557</v>
      </c>
      <c r="M17" s="102">
        <f>MAX(MIN(C17-G17-J17,R17+D17+S17+T17-U17),0)</f>
        <v>718528557</v>
      </c>
      <c r="N17" s="102">
        <f t="shared" ref="N17:N46" si="1">L17-M17</f>
        <v>0</v>
      </c>
      <c r="O17" s="14"/>
      <c r="P17" s="91">
        <f>IF(C17="","",MAX(C17-(F17+I17+L17),0))</f>
        <v>154726786</v>
      </c>
      <c r="Q17" s="15"/>
      <c r="R17" s="86">
        <f>IF(C17="","",ROUNDDOWN(ROUNDDOWN($P$3/365,0)*$D$5/100,0)+IFERROR(ROUNDDOWN(ROUNDDOWN(T$8/T$9,0)*$D$5/100,0),0))</f>
        <v>18528557</v>
      </c>
      <c r="S17" s="86">
        <f t="shared" ref="S17:S46" si="2">IF(C17="","",ROUNDDOWN((MAX(D17-E17-$P$4,0)*$D$6/100),0))</f>
        <v>300000000</v>
      </c>
      <c r="T17" s="84">
        <f>IF(C17="","",ROUNDDOWN($T$4/$D$3,0)+$T$6)</f>
        <v>0</v>
      </c>
      <c r="U17" s="91">
        <f t="shared" ref="U17:U46" si="3">IF(C17="","",IF($AA$4="○",ROUNDDOWN((R17+D17+S17+T17)*25/100,0)+ROUNDDOWN(AA$6/$D$3,0),ROUNDDOWN(AA$6/$D$3,0)))</f>
        <v>0</v>
      </c>
      <c r="V17" s="2"/>
      <c r="W17" s="46"/>
      <c r="X17" s="70"/>
      <c r="Y17" s="213"/>
      <c r="Z17" s="214"/>
      <c r="AA17" s="216"/>
      <c r="AB17" s="47"/>
      <c r="AC17" s="210"/>
      <c r="AD17" s="190"/>
      <c r="AE17" s="121"/>
      <c r="AF17" s="46"/>
      <c r="AG17" s="70"/>
      <c r="AH17" s="213"/>
      <c r="AI17" s="214"/>
      <c r="AJ17" s="216"/>
      <c r="AK17" s="47"/>
      <c r="AL17" s="218"/>
      <c r="AM17" s="189"/>
      <c r="AN17" s="1"/>
      <c r="AO17" s="1"/>
    </row>
    <row r="18" spans="2:43" ht="30.75" customHeight="1" x14ac:dyDescent="0.2">
      <c r="B18" s="141" t="s">
        <v>21</v>
      </c>
      <c r="C18" s="157">
        <v>934004712</v>
      </c>
      <c r="D18" s="157">
        <v>400000000</v>
      </c>
      <c r="E18" s="78"/>
      <c r="F18" s="83">
        <f t="shared" ref="F18:F27" si="4">IF(C18="","",$D$4)</f>
        <v>4394854</v>
      </c>
      <c r="G18" s="94">
        <f t="shared" ref="G18:G28" si="5">MIN(C18,$D$4)</f>
        <v>4394854</v>
      </c>
      <c r="H18" s="94">
        <f t="shared" ref="H18:H46" si="6">F18-G18</f>
        <v>0</v>
      </c>
      <c r="I18" s="84">
        <f t="shared" ref="I18:I28" si="7">IF(C18="","",MAX(ROUNDDOWN($P$3/365,0)-$D$4,0))</f>
        <v>56354515</v>
      </c>
      <c r="J18" s="94">
        <f t="shared" ref="J18:J28" si="8">MAX(MIN(C18-G18,ROUNDDOWN($P$3/365,0)-G18),0)</f>
        <v>56354515</v>
      </c>
      <c r="K18" s="94">
        <f t="shared" ref="K18:K46" si="9">I18-J18</f>
        <v>0</v>
      </c>
      <c r="L18" s="84">
        <f t="shared" ref="L18:L28" si="10">IF(C18="","",R18+D18+S18+T18-U18)</f>
        <v>718528557</v>
      </c>
      <c r="M18" s="102">
        <f>MAX(MIN(C18-G18-J18,R18+D18+S18+T18-U18),0)</f>
        <v>718528557</v>
      </c>
      <c r="N18" s="102">
        <f t="shared" si="1"/>
        <v>0</v>
      </c>
      <c r="O18" s="14"/>
      <c r="P18" s="91">
        <f t="shared" ref="P18:P28" si="11">IF(C18="","",MAX(C18-(F18+I18+L18),0))</f>
        <v>154726786</v>
      </c>
      <c r="Q18" s="15"/>
      <c r="R18" s="86">
        <f t="shared" ref="R18:R28" si="12">IF(C18="","",ROUNDDOWN(ROUNDDOWN($P$3/365,0)*$D$5/100,0)+IFERROR(ROUNDDOWN(ROUNDDOWN(T$8/T$9,0)*$D$5/100,0),0))</f>
        <v>18528557</v>
      </c>
      <c r="S18" s="86">
        <f t="shared" si="2"/>
        <v>300000000</v>
      </c>
      <c r="T18" s="84">
        <f t="shared" ref="T18:T28" si="13">IF(C18="","",ROUNDDOWN($T$4/$D$3,0)+$T$6)</f>
        <v>0</v>
      </c>
      <c r="U18" s="91">
        <f t="shared" si="3"/>
        <v>0</v>
      </c>
      <c r="V18" s="2"/>
      <c r="W18" s="46"/>
      <c r="X18" s="70"/>
      <c r="Y18" s="211" t="s">
        <v>58</v>
      </c>
      <c r="Z18" s="212"/>
      <c r="AA18" s="215">
        <f>MAX(MIN(Z34,AA14-AA16),0)</f>
        <v>1746989980</v>
      </c>
      <c r="AB18" s="47"/>
      <c r="AC18" s="209">
        <v>0.1</v>
      </c>
      <c r="AD18" s="190">
        <f t="shared" ref="AD18" si="14">ROUNDDOWN(AA18*AC18/36500,0)</f>
        <v>4786</v>
      </c>
      <c r="AE18" s="121"/>
      <c r="AF18" s="46"/>
      <c r="AG18" s="70"/>
      <c r="AH18" s="211" t="s">
        <v>105</v>
      </c>
      <c r="AI18" s="212"/>
      <c r="AJ18" s="215">
        <f>IF(AI34=0,0,MIN(AJ14-AJ16,AI34))</f>
        <v>0</v>
      </c>
      <c r="AK18" s="47"/>
      <c r="AL18" s="217">
        <v>0.1</v>
      </c>
      <c r="AM18" s="195">
        <f t="shared" ref="AM18" si="15">ROUNDDOWN(AJ18*AL18/36500,0)</f>
        <v>0</v>
      </c>
      <c r="AN18" s="1"/>
      <c r="AO18" s="1"/>
    </row>
    <row r="19" spans="2:43" ht="30.75" customHeight="1" thickBot="1" x14ac:dyDescent="0.25">
      <c r="B19" s="141" t="s">
        <v>22</v>
      </c>
      <c r="C19" s="157">
        <v>934004712</v>
      </c>
      <c r="D19" s="157">
        <v>400000000</v>
      </c>
      <c r="E19" s="78"/>
      <c r="F19" s="83">
        <f t="shared" si="4"/>
        <v>4394854</v>
      </c>
      <c r="G19" s="94">
        <f t="shared" si="5"/>
        <v>4394854</v>
      </c>
      <c r="H19" s="94">
        <f t="shared" si="6"/>
        <v>0</v>
      </c>
      <c r="I19" s="84">
        <f t="shared" si="7"/>
        <v>56354515</v>
      </c>
      <c r="J19" s="94">
        <f t="shared" si="8"/>
        <v>56354515</v>
      </c>
      <c r="K19" s="94">
        <f t="shared" si="9"/>
        <v>0</v>
      </c>
      <c r="L19" s="84">
        <f t="shared" si="10"/>
        <v>718528557</v>
      </c>
      <c r="M19" s="102">
        <f>MAX(MIN(C19-G19-J19,R19+D19+S19+T19-U19),0)</f>
        <v>718528557</v>
      </c>
      <c r="N19" s="102">
        <f t="shared" si="1"/>
        <v>0</v>
      </c>
      <c r="O19" s="14"/>
      <c r="P19" s="91">
        <f t="shared" si="11"/>
        <v>154726786</v>
      </c>
      <c r="Q19" s="15"/>
      <c r="R19" s="86">
        <f t="shared" si="12"/>
        <v>18528557</v>
      </c>
      <c r="S19" s="86">
        <f t="shared" si="2"/>
        <v>300000000</v>
      </c>
      <c r="T19" s="84">
        <f>IF(C19="","",ROUNDDOWN($T$4/$D$3,0)+$T$6)</f>
        <v>0</v>
      </c>
      <c r="U19" s="91">
        <f t="shared" si="3"/>
        <v>0</v>
      </c>
      <c r="V19" s="2"/>
      <c r="W19" s="46"/>
      <c r="X19" s="70"/>
      <c r="Y19" s="213"/>
      <c r="Z19" s="214"/>
      <c r="AA19" s="216"/>
      <c r="AB19" s="47"/>
      <c r="AC19" s="210"/>
      <c r="AD19" s="190"/>
      <c r="AE19" s="121"/>
      <c r="AF19" s="46"/>
      <c r="AG19" s="70"/>
      <c r="AH19" s="213"/>
      <c r="AI19" s="214"/>
      <c r="AJ19" s="216"/>
      <c r="AK19" s="47"/>
      <c r="AL19" s="218"/>
      <c r="AM19" s="189"/>
      <c r="AN19" s="1"/>
      <c r="AO19" s="1"/>
    </row>
    <row r="20" spans="2:43" ht="30.75" customHeight="1" thickBot="1" x14ac:dyDescent="0.25">
      <c r="B20" s="142" t="s">
        <v>23</v>
      </c>
      <c r="C20" s="167">
        <v>934004712</v>
      </c>
      <c r="D20" s="167">
        <v>400000000</v>
      </c>
      <c r="E20" s="124"/>
      <c r="F20" s="138">
        <f t="shared" si="4"/>
        <v>4394854</v>
      </c>
      <c r="G20" s="125">
        <f>MIN(C20,$D$4)</f>
        <v>4394854</v>
      </c>
      <c r="H20" s="125">
        <f t="shared" si="6"/>
        <v>0</v>
      </c>
      <c r="I20" s="126">
        <f t="shared" si="7"/>
        <v>56354515</v>
      </c>
      <c r="J20" s="125">
        <f>MAX(MIN(C20-G20,ROUNDDOWN($P$3/365,0)-G20),0)</f>
        <v>56354515</v>
      </c>
      <c r="K20" s="125">
        <f t="shared" si="9"/>
        <v>0</v>
      </c>
      <c r="L20" s="126">
        <f t="shared" si="10"/>
        <v>718528557</v>
      </c>
      <c r="M20" s="127">
        <f t="shared" ref="M20:M28" si="16">MAX(MIN(C20-G20-J20,R20+D20+S20+T20-U20),0)</f>
        <v>718528557</v>
      </c>
      <c r="N20" s="127">
        <f t="shared" si="1"/>
        <v>0</v>
      </c>
      <c r="O20" s="139"/>
      <c r="P20" s="128">
        <f t="shared" si="11"/>
        <v>154726786</v>
      </c>
      <c r="Q20" s="140"/>
      <c r="R20" s="129">
        <f t="shared" si="12"/>
        <v>18528557</v>
      </c>
      <c r="S20" s="129">
        <f t="shared" si="2"/>
        <v>300000000</v>
      </c>
      <c r="T20" s="126">
        <f t="shared" si="13"/>
        <v>0</v>
      </c>
      <c r="U20" s="128">
        <f t="shared" si="3"/>
        <v>0</v>
      </c>
      <c r="V20" s="2"/>
      <c r="W20" s="46"/>
      <c r="X20" s="70"/>
      <c r="Y20" s="211" t="s">
        <v>59</v>
      </c>
      <c r="Z20" s="212"/>
      <c r="AA20" s="215">
        <f>MAX(MIN(Z37,AA14-AA16-AA18),0)</f>
        <v>2786793106</v>
      </c>
      <c r="AB20" s="48"/>
      <c r="AC20" s="209">
        <v>0</v>
      </c>
      <c r="AD20" s="190">
        <f t="shared" ref="AD20" si="17">ROUNDDOWN(AA20*AC20/36500,0)</f>
        <v>0</v>
      </c>
      <c r="AE20" s="121"/>
      <c r="AF20" s="46"/>
      <c r="AG20" s="70"/>
      <c r="AH20" s="211" t="s">
        <v>114</v>
      </c>
      <c r="AI20" s="212"/>
      <c r="AJ20" s="215">
        <f>IF(AI37=0,0,MIN(AJ14-AJ16-AJ18,AI37))</f>
        <v>20664122512</v>
      </c>
      <c r="AK20" s="48"/>
      <c r="AL20" s="217">
        <v>0.1</v>
      </c>
      <c r="AM20" s="195">
        <f t="shared" ref="AM20" si="18">ROUNDDOWN(AJ20*AL20/36500,0)</f>
        <v>56614</v>
      </c>
      <c r="AN20" s="1"/>
      <c r="AO20" s="1"/>
    </row>
    <row r="21" spans="2:43" ht="30.75" customHeight="1" thickTop="1" thickBot="1" x14ac:dyDescent="0.25">
      <c r="B21" s="143" t="s">
        <v>24</v>
      </c>
      <c r="C21" s="168">
        <v>454004712</v>
      </c>
      <c r="D21" s="168">
        <v>400000000</v>
      </c>
      <c r="E21" s="132"/>
      <c r="F21" s="83">
        <f>IF(C21="","",$D$4)</f>
        <v>4394854</v>
      </c>
      <c r="G21" s="133">
        <f t="shared" si="5"/>
        <v>4394854</v>
      </c>
      <c r="H21" s="133">
        <f t="shared" si="6"/>
        <v>0</v>
      </c>
      <c r="I21" s="134">
        <f t="shared" si="7"/>
        <v>56354515</v>
      </c>
      <c r="J21" s="133">
        <f t="shared" si="8"/>
        <v>56354515</v>
      </c>
      <c r="K21" s="133">
        <f t="shared" si="9"/>
        <v>0</v>
      </c>
      <c r="L21" s="134">
        <f t="shared" si="10"/>
        <v>718528557</v>
      </c>
      <c r="M21" s="135">
        <f t="shared" si="16"/>
        <v>393255343</v>
      </c>
      <c r="N21" s="135">
        <f t="shared" si="1"/>
        <v>325273214</v>
      </c>
      <c r="O21" s="14"/>
      <c r="P21" s="136">
        <f t="shared" si="11"/>
        <v>0</v>
      </c>
      <c r="Q21" s="15"/>
      <c r="R21" s="137">
        <f t="shared" si="12"/>
        <v>18528557</v>
      </c>
      <c r="S21" s="137">
        <f t="shared" si="2"/>
        <v>300000000</v>
      </c>
      <c r="T21" s="134">
        <f t="shared" si="13"/>
        <v>0</v>
      </c>
      <c r="U21" s="136">
        <f t="shared" si="3"/>
        <v>0</v>
      </c>
      <c r="V21" s="2"/>
      <c r="W21" s="46"/>
      <c r="X21" s="70"/>
      <c r="Y21" s="213"/>
      <c r="Z21" s="214"/>
      <c r="AA21" s="216"/>
      <c r="AB21" s="48"/>
      <c r="AC21" s="210"/>
      <c r="AD21" s="190"/>
      <c r="AE21" s="121"/>
      <c r="AF21" s="46"/>
      <c r="AG21" s="70"/>
      <c r="AH21" s="213"/>
      <c r="AI21" s="214"/>
      <c r="AJ21" s="216"/>
      <c r="AK21" s="48"/>
      <c r="AL21" s="218"/>
      <c r="AM21" s="189"/>
      <c r="AN21" s="1"/>
      <c r="AO21" s="1"/>
    </row>
    <row r="22" spans="2:43" ht="30.75" customHeight="1" x14ac:dyDescent="0.2">
      <c r="B22" s="144" t="s">
        <v>25</v>
      </c>
      <c r="C22" s="157">
        <v>454004712</v>
      </c>
      <c r="D22" s="157">
        <v>400000000</v>
      </c>
      <c r="E22" s="78"/>
      <c r="F22" s="83">
        <f t="shared" si="4"/>
        <v>4394854</v>
      </c>
      <c r="G22" s="94">
        <f t="shared" si="5"/>
        <v>4394854</v>
      </c>
      <c r="H22" s="94">
        <f t="shared" si="6"/>
        <v>0</v>
      </c>
      <c r="I22" s="84">
        <f t="shared" si="7"/>
        <v>56354515</v>
      </c>
      <c r="J22" s="94">
        <f t="shared" si="8"/>
        <v>56354515</v>
      </c>
      <c r="K22" s="94">
        <f t="shared" si="9"/>
        <v>0</v>
      </c>
      <c r="L22" s="84">
        <f t="shared" si="10"/>
        <v>718528557</v>
      </c>
      <c r="M22" s="102">
        <f t="shared" si="16"/>
        <v>393255343</v>
      </c>
      <c r="N22" s="102">
        <f t="shared" si="1"/>
        <v>325273214</v>
      </c>
      <c r="O22" s="14"/>
      <c r="P22" s="91">
        <f t="shared" si="11"/>
        <v>0</v>
      </c>
      <c r="Q22" s="15"/>
      <c r="R22" s="86">
        <f t="shared" si="12"/>
        <v>18528557</v>
      </c>
      <c r="S22" s="86">
        <f t="shared" si="2"/>
        <v>300000000</v>
      </c>
      <c r="T22" s="84">
        <f t="shared" si="13"/>
        <v>0</v>
      </c>
      <c r="U22" s="91">
        <f t="shared" si="3"/>
        <v>0</v>
      </c>
      <c r="V22" s="2"/>
      <c r="W22" s="46"/>
      <c r="X22" s="71"/>
      <c r="Y22" s="200" t="s">
        <v>56</v>
      </c>
      <c r="Z22" s="201"/>
      <c r="AA22" s="254">
        <f>MAX(AA14-AA16-AA18-AA20,0)</f>
        <v>0</v>
      </c>
      <c r="AB22" s="48"/>
      <c r="AC22" s="196">
        <v>-0.1</v>
      </c>
      <c r="AD22" s="198">
        <f t="shared" ref="AD22" si="19">ROUNDDOWN(AA22*AC22/36500,0)</f>
        <v>0</v>
      </c>
      <c r="AE22" s="121"/>
      <c r="AF22" s="46"/>
      <c r="AG22" s="71"/>
      <c r="AH22" s="200" t="s">
        <v>56</v>
      </c>
      <c r="AI22" s="201"/>
      <c r="AJ22" s="204">
        <f>MAX(AJ14-AJ16-AJ18-AJ20,0)</f>
        <v>0</v>
      </c>
      <c r="AK22" s="48"/>
      <c r="AL22" s="206">
        <v>0.1</v>
      </c>
      <c r="AM22" s="195">
        <f t="shared" ref="AM22" si="20">ROUNDDOWN(AJ22*AL22/36500,0)</f>
        <v>0</v>
      </c>
      <c r="AN22" s="1"/>
      <c r="AO22" s="1"/>
    </row>
    <row r="23" spans="2:43" ht="30.75" customHeight="1" thickBot="1" x14ac:dyDescent="0.25">
      <c r="B23" s="144" t="s">
        <v>26</v>
      </c>
      <c r="C23" s="157">
        <v>454004712</v>
      </c>
      <c r="D23" s="157">
        <v>400000000</v>
      </c>
      <c r="E23" s="78"/>
      <c r="F23" s="83">
        <f t="shared" si="4"/>
        <v>4394854</v>
      </c>
      <c r="G23" s="94">
        <f t="shared" si="5"/>
        <v>4394854</v>
      </c>
      <c r="H23" s="94">
        <f t="shared" si="6"/>
        <v>0</v>
      </c>
      <c r="I23" s="84">
        <f t="shared" si="7"/>
        <v>56354515</v>
      </c>
      <c r="J23" s="94">
        <f t="shared" si="8"/>
        <v>56354515</v>
      </c>
      <c r="K23" s="94">
        <f t="shared" si="9"/>
        <v>0</v>
      </c>
      <c r="L23" s="84">
        <f t="shared" si="10"/>
        <v>718528557</v>
      </c>
      <c r="M23" s="102">
        <f t="shared" si="16"/>
        <v>393255343</v>
      </c>
      <c r="N23" s="102">
        <f t="shared" si="1"/>
        <v>325273214</v>
      </c>
      <c r="O23" s="14"/>
      <c r="P23" s="91">
        <f t="shared" si="11"/>
        <v>0</v>
      </c>
      <c r="Q23" s="15"/>
      <c r="R23" s="86">
        <f t="shared" si="12"/>
        <v>18528557</v>
      </c>
      <c r="S23" s="86">
        <f t="shared" si="2"/>
        <v>300000000</v>
      </c>
      <c r="T23" s="84">
        <f t="shared" si="13"/>
        <v>0</v>
      </c>
      <c r="U23" s="91">
        <f t="shared" si="3"/>
        <v>0</v>
      </c>
      <c r="V23" s="2"/>
      <c r="W23" s="49"/>
      <c r="X23" s="72"/>
      <c r="Y23" s="202"/>
      <c r="Z23" s="203"/>
      <c r="AA23" s="255"/>
      <c r="AB23" s="50"/>
      <c r="AC23" s="197"/>
      <c r="AD23" s="199"/>
      <c r="AE23" s="121"/>
      <c r="AF23" s="49"/>
      <c r="AG23" s="72"/>
      <c r="AH23" s="202"/>
      <c r="AI23" s="203"/>
      <c r="AJ23" s="205"/>
      <c r="AK23" s="50"/>
      <c r="AL23" s="207"/>
      <c r="AM23" s="208"/>
      <c r="AN23" s="1"/>
      <c r="AO23" s="1"/>
    </row>
    <row r="24" spans="2:43" ht="30.75" customHeight="1" thickTop="1" thickBot="1" x14ac:dyDescent="0.25">
      <c r="B24" s="144" t="s">
        <v>27</v>
      </c>
      <c r="C24" s="157">
        <v>454004712</v>
      </c>
      <c r="D24" s="157">
        <v>400000000</v>
      </c>
      <c r="E24" s="78"/>
      <c r="F24" s="83">
        <f t="shared" si="4"/>
        <v>4394854</v>
      </c>
      <c r="G24" s="94">
        <f t="shared" si="5"/>
        <v>4394854</v>
      </c>
      <c r="H24" s="94">
        <f t="shared" si="6"/>
        <v>0</v>
      </c>
      <c r="I24" s="84">
        <f t="shared" si="7"/>
        <v>56354515</v>
      </c>
      <c r="J24" s="94">
        <f t="shared" si="8"/>
        <v>56354515</v>
      </c>
      <c r="K24" s="94">
        <f t="shared" si="9"/>
        <v>0</v>
      </c>
      <c r="L24" s="84">
        <f t="shared" si="10"/>
        <v>718528557</v>
      </c>
      <c r="M24" s="102">
        <f t="shared" si="16"/>
        <v>393255343</v>
      </c>
      <c r="N24" s="102">
        <f t="shared" si="1"/>
        <v>325273214</v>
      </c>
      <c r="O24" s="14"/>
      <c r="P24" s="91">
        <f t="shared" si="11"/>
        <v>0</v>
      </c>
      <c r="Q24" s="15"/>
      <c r="R24" s="86">
        <f t="shared" si="12"/>
        <v>18528557</v>
      </c>
      <c r="S24" s="86">
        <f t="shared" si="2"/>
        <v>300000000</v>
      </c>
      <c r="T24" s="84">
        <f t="shared" si="13"/>
        <v>0</v>
      </c>
      <c r="U24" s="91">
        <f t="shared" si="3"/>
        <v>0</v>
      </c>
      <c r="V24" s="2"/>
      <c r="W24" s="52"/>
      <c r="X24" s="53"/>
      <c r="Y24" s="53"/>
      <c r="Z24" s="53"/>
      <c r="AA24" s="53"/>
      <c r="AB24" s="75"/>
      <c r="AC24" s="188" t="s">
        <v>8</v>
      </c>
      <c r="AD24" s="189">
        <f>SUM(AD16:AD23)</f>
        <v>4786</v>
      </c>
      <c r="AE24" s="1"/>
      <c r="AF24" s="52"/>
      <c r="AG24" s="53"/>
      <c r="AH24" s="53"/>
      <c r="AI24" s="53"/>
      <c r="AJ24" s="53"/>
      <c r="AK24" s="75"/>
      <c r="AL24" s="191" t="s">
        <v>8</v>
      </c>
      <c r="AM24" s="189">
        <f>SUM(AM16:AM23)</f>
        <v>56614</v>
      </c>
      <c r="AN24" s="1"/>
      <c r="AO24" s="193" t="s">
        <v>101</v>
      </c>
      <c r="AP24" s="184">
        <f>AD24+AM24</f>
        <v>61400</v>
      </c>
    </row>
    <row r="25" spans="2:43" ht="30.75" customHeight="1" x14ac:dyDescent="0.2">
      <c r="B25" s="144" t="s">
        <v>28</v>
      </c>
      <c r="C25" s="157">
        <v>454004712</v>
      </c>
      <c r="D25" s="157">
        <v>400000000</v>
      </c>
      <c r="E25" s="78"/>
      <c r="F25" s="83">
        <f t="shared" si="4"/>
        <v>4394854</v>
      </c>
      <c r="G25" s="94">
        <f t="shared" si="5"/>
        <v>4394854</v>
      </c>
      <c r="H25" s="94">
        <f t="shared" si="6"/>
        <v>0</v>
      </c>
      <c r="I25" s="84">
        <f t="shared" si="7"/>
        <v>56354515</v>
      </c>
      <c r="J25" s="94">
        <f t="shared" si="8"/>
        <v>56354515</v>
      </c>
      <c r="K25" s="94">
        <f t="shared" si="9"/>
        <v>0</v>
      </c>
      <c r="L25" s="84">
        <f>IF(C25="","",R25+D25+S25+T25-U25)</f>
        <v>718528557</v>
      </c>
      <c r="M25" s="102">
        <f t="shared" si="16"/>
        <v>393255343</v>
      </c>
      <c r="N25" s="102">
        <f t="shared" si="1"/>
        <v>325273214</v>
      </c>
      <c r="O25" s="14"/>
      <c r="P25" s="154">
        <f t="shared" si="11"/>
        <v>0</v>
      </c>
      <c r="Q25" s="15"/>
      <c r="R25" s="86">
        <f t="shared" si="12"/>
        <v>18528557</v>
      </c>
      <c r="S25" s="86">
        <f t="shared" si="2"/>
        <v>300000000</v>
      </c>
      <c r="T25" s="84">
        <f>IF(C25="","",ROUNDDOWN($T$4/$D$3,0)+$T$6)</f>
        <v>0</v>
      </c>
      <c r="U25" s="91">
        <f>IF(C25="","",IF($AA$4="○",ROUNDDOWN((R25+D25+S25+T25)*25/100,0)+ROUNDDOWN(AA$6/$D$3,0),ROUNDDOWN(AA$6/$D$3,0)))</f>
        <v>0</v>
      </c>
      <c r="V25" s="2"/>
      <c r="AC25" s="189"/>
      <c r="AD25" s="190"/>
      <c r="AE25" s="1"/>
      <c r="AF25" s="1"/>
      <c r="AL25" s="192"/>
      <c r="AM25" s="190"/>
      <c r="AN25" s="1"/>
      <c r="AO25" s="194"/>
      <c r="AP25" s="185"/>
      <c r="AQ25" s="67" t="s">
        <v>6</v>
      </c>
    </row>
    <row r="26" spans="2:43" ht="30.75" customHeight="1" thickBot="1" x14ac:dyDescent="0.25">
      <c r="B26" s="144" t="s">
        <v>29</v>
      </c>
      <c r="C26" s="157">
        <v>854004712</v>
      </c>
      <c r="D26" s="157">
        <v>600000000</v>
      </c>
      <c r="E26" s="78"/>
      <c r="F26" s="83">
        <f t="shared" si="4"/>
        <v>4394854</v>
      </c>
      <c r="G26" s="94">
        <f t="shared" si="5"/>
        <v>4394854</v>
      </c>
      <c r="H26" s="94">
        <f t="shared" si="6"/>
        <v>0</v>
      </c>
      <c r="I26" s="84">
        <f t="shared" si="7"/>
        <v>56354515</v>
      </c>
      <c r="J26" s="94">
        <f t="shared" si="8"/>
        <v>56354515</v>
      </c>
      <c r="K26" s="94">
        <f>I26-J26</f>
        <v>0</v>
      </c>
      <c r="L26" s="84">
        <f t="shared" si="10"/>
        <v>1118528557</v>
      </c>
      <c r="M26" s="102">
        <f t="shared" si="16"/>
        <v>793255343</v>
      </c>
      <c r="N26" s="102">
        <f t="shared" si="1"/>
        <v>325273214</v>
      </c>
      <c r="O26" s="14"/>
      <c r="P26" s="91">
        <f t="shared" si="11"/>
        <v>0</v>
      </c>
      <c r="Q26" s="15"/>
      <c r="R26" s="86">
        <f t="shared" si="12"/>
        <v>18528557</v>
      </c>
      <c r="S26" s="86">
        <f t="shared" si="2"/>
        <v>500000000</v>
      </c>
      <c r="T26" s="84">
        <f t="shared" si="13"/>
        <v>0</v>
      </c>
      <c r="U26" s="91">
        <f t="shared" si="3"/>
        <v>0</v>
      </c>
      <c r="V26" s="2"/>
      <c r="AC26" s="9"/>
      <c r="AD26" s="9"/>
      <c r="AE26" s="1"/>
      <c r="AF26" s="1"/>
      <c r="AL26" s="9"/>
      <c r="AM26" s="9"/>
      <c r="AN26" s="1"/>
      <c r="AO26" s="1"/>
    </row>
    <row r="27" spans="2:43" ht="30.75" customHeight="1" x14ac:dyDescent="0.2">
      <c r="B27" s="144" t="s">
        <v>30</v>
      </c>
      <c r="C27" s="157">
        <v>854004712</v>
      </c>
      <c r="D27" s="157">
        <v>600000000</v>
      </c>
      <c r="E27" s="78"/>
      <c r="F27" s="83">
        <f t="shared" si="4"/>
        <v>4394854</v>
      </c>
      <c r="G27" s="94">
        <f t="shared" si="5"/>
        <v>4394854</v>
      </c>
      <c r="H27" s="94">
        <f t="shared" si="6"/>
        <v>0</v>
      </c>
      <c r="I27" s="84">
        <f t="shared" si="7"/>
        <v>56354515</v>
      </c>
      <c r="J27" s="94">
        <f t="shared" si="8"/>
        <v>56354515</v>
      </c>
      <c r="K27" s="94">
        <f t="shared" si="9"/>
        <v>0</v>
      </c>
      <c r="L27" s="84">
        <f t="shared" si="10"/>
        <v>1118528557</v>
      </c>
      <c r="M27" s="102">
        <f t="shared" si="16"/>
        <v>793255343</v>
      </c>
      <c r="N27" s="102">
        <f t="shared" si="1"/>
        <v>325273214</v>
      </c>
      <c r="O27" s="14"/>
      <c r="P27" s="91">
        <f t="shared" si="11"/>
        <v>0</v>
      </c>
      <c r="Q27" s="15"/>
      <c r="R27" s="86">
        <f t="shared" si="12"/>
        <v>18528557</v>
      </c>
      <c r="S27" s="86">
        <f t="shared" si="2"/>
        <v>500000000</v>
      </c>
      <c r="T27" s="84">
        <f t="shared" si="13"/>
        <v>0</v>
      </c>
      <c r="U27" s="91">
        <f t="shared" si="3"/>
        <v>0</v>
      </c>
      <c r="V27" s="2"/>
      <c r="W27" s="44"/>
      <c r="X27" s="228" t="s">
        <v>102</v>
      </c>
      <c r="Y27" s="228"/>
      <c r="Z27" s="228"/>
      <c r="AA27" s="228"/>
      <c r="AB27" s="45"/>
      <c r="AD27" s="4"/>
      <c r="AE27" s="1"/>
      <c r="AF27" s="44"/>
      <c r="AG27" s="186" t="s">
        <v>103</v>
      </c>
      <c r="AH27" s="186"/>
      <c r="AI27" s="186"/>
      <c r="AJ27" s="186"/>
      <c r="AK27" s="45"/>
      <c r="AL27" s="4"/>
      <c r="AM27" s="4"/>
      <c r="AN27" s="1"/>
      <c r="AO27" s="1"/>
    </row>
    <row r="28" spans="2:43" ht="30.75" customHeight="1" x14ac:dyDescent="0.2">
      <c r="B28" s="144" t="s">
        <v>31</v>
      </c>
      <c r="C28" s="157">
        <v>854004712</v>
      </c>
      <c r="D28" s="157">
        <v>600000000</v>
      </c>
      <c r="E28" s="78"/>
      <c r="F28" s="83">
        <f>IF(C28="","",$D$4)</f>
        <v>4394854</v>
      </c>
      <c r="G28" s="94">
        <f t="shared" si="5"/>
        <v>4394854</v>
      </c>
      <c r="H28" s="94">
        <f t="shared" si="6"/>
        <v>0</v>
      </c>
      <c r="I28" s="84">
        <f t="shared" si="7"/>
        <v>56354515</v>
      </c>
      <c r="J28" s="94">
        <f t="shared" si="8"/>
        <v>56354515</v>
      </c>
      <c r="K28" s="94">
        <f t="shared" si="9"/>
        <v>0</v>
      </c>
      <c r="L28" s="84">
        <f t="shared" si="10"/>
        <v>1118528557</v>
      </c>
      <c r="M28" s="102">
        <f t="shared" si="16"/>
        <v>793255343</v>
      </c>
      <c r="N28" s="102">
        <f t="shared" si="1"/>
        <v>325273214</v>
      </c>
      <c r="O28" s="14"/>
      <c r="P28" s="91">
        <f t="shared" si="11"/>
        <v>0</v>
      </c>
      <c r="Q28" s="15"/>
      <c r="R28" s="86">
        <f t="shared" si="12"/>
        <v>18528557</v>
      </c>
      <c r="S28" s="86">
        <f t="shared" si="2"/>
        <v>500000000</v>
      </c>
      <c r="T28" s="84">
        <f t="shared" si="13"/>
        <v>0</v>
      </c>
      <c r="U28" s="91">
        <f t="shared" si="3"/>
        <v>0</v>
      </c>
      <c r="V28" s="2"/>
      <c r="W28" s="46"/>
      <c r="X28" s="229"/>
      <c r="Y28" s="229"/>
      <c r="Z28" s="229"/>
      <c r="AA28" s="229"/>
      <c r="AB28" s="47"/>
      <c r="AD28" s="4"/>
      <c r="AE28" s="1"/>
      <c r="AF28" s="46"/>
      <c r="AG28" s="187"/>
      <c r="AH28" s="187"/>
      <c r="AI28" s="187"/>
      <c r="AJ28" s="187"/>
      <c r="AK28" s="47"/>
      <c r="AL28" s="4"/>
      <c r="AM28" s="4"/>
      <c r="AN28" s="1"/>
      <c r="AO28" s="1"/>
    </row>
    <row r="29" spans="2:43" ht="30.75" customHeight="1" x14ac:dyDescent="0.2">
      <c r="B29" s="144" t="s">
        <v>32</v>
      </c>
      <c r="C29" s="157">
        <v>854004712</v>
      </c>
      <c r="D29" s="157">
        <v>600000000</v>
      </c>
      <c r="E29" s="78"/>
      <c r="F29" s="83">
        <f>IF(C29="","",IF(VALUE(LEFT(B29,2))&gt;$D$3,"",$D$4))</f>
        <v>4394854</v>
      </c>
      <c r="G29" s="94">
        <f>IF(VALUE(LEFT(B29,2))&gt;$D$3,"",MIN(C29,$D$4))</f>
        <v>4394854</v>
      </c>
      <c r="H29" s="94">
        <f>IF(VALUE(LEFT(B29,2))&gt;$D$3,"",F29-G29)</f>
        <v>0</v>
      </c>
      <c r="I29" s="84">
        <f>IF(C29="","",IF(VALUE(LEFT(B29,2))&gt;$D$3,"",MAX(ROUNDDOWN($P$3/365,0)-$D$4,0)))</f>
        <v>56354515</v>
      </c>
      <c r="J29" s="94">
        <f>IF(VALUE(LEFT(B29,2))&gt;$D$3,"",MAX(MIN(C29-G29,ROUNDDOWN($P$3/365,0)-G29),0))</f>
        <v>56354515</v>
      </c>
      <c r="K29" s="94">
        <f>IF(VALUE(LEFT(B29,2))&gt;$D$3,"",I29-J29)</f>
        <v>0</v>
      </c>
      <c r="L29" s="84">
        <f>IF(C29="","",IF(VALUE(LEFT(B29,2))&gt;$D$3,"",R29+D29+S29+T29-U29))</f>
        <v>1118528557</v>
      </c>
      <c r="M29" s="102">
        <f>IF(VALUE(LEFT(B29,2))&gt;D$3,"",MAX(MIN(C29-G29-J29,R29+D29+S29+T29-U29),0))</f>
        <v>793255343</v>
      </c>
      <c r="N29" s="102">
        <f>IF(VALUE(LEFT(B29,2))&gt;$D$3,"",L29-M29)</f>
        <v>325273214</v>
      </c>
      <c r="O29" s="14"/>
      <c r="P29" s="91">
        <f>IF(C29="","",IF(VALUE(LEFT(B29,2))&gt;$D$3,"",MAX(C29-(F29+I29+L29),0)))</f>
        <v>0</v>
      </c>
      <c r="Q29" s="15"/>
      <c r="R29" s="86">
        <f>IF(C29="","",IF(VALUE(LEFT(B29,2))&gt;$D$3,"",ROUNDDOWN(ROUNDDOWN($P$3/365,0)*D$5/100,0)+IFERROR(ROUNDDOWN(ROUNDDOWN(T$8/T$9,0)*$D$5/100,0),0)))</f>
        <v>18528557</v>
      </c>
      <c r="S29" s="86">
        <f>IF(C29="","",IF(VALUE(LEFT(B29,2))&gt;$D$3,"",ROUNDDOWN((MAX(D29-E29-$P$4,0)*$D$6/100),0)))</f>
        <v>500000000</v>
      </c>
      <c r="T29" s="84">
        <f>IF(C29="","",IF(VALUE(LEFT(B29,2))&gt;$D$3,"",ROUNDDOWN($T$4/$D$3,0)+$T$6))</f>
        <v>0</v>
      </c>
      <c r="U29" s="91">
        <f>IF(C29="","",IF(VALUE(LEFT(B29,2))&gt;$D$3,"",IF($AA$4="○",ROUNDDOWN((R29+D29+S29+T29)*25/100,0)+ROUNDDOWN(AA$6/$D$3,0),ROUNDDOWN(AA$6/$D$3,0))))</f>
        <v>0</v>
      </c>
      <c r="V29" s="2"/>
      <c r="W29" s="49"/>
      <c r="X29" s="183" t="s">
        <v>52</v>
      </c>
      <c r="Y29" s="183"/>
      <c r="Z29" s="256" t="s">
        <v>60</v>
      </c>
      <c r="AA29" s="183" t="s">
        <v>61</v>
      </c>
      <c r="AB29" s="50"/>
      <c r="AC29" s="130"/>
      <c r="AD29" s="130"/>
      <c r="AE29" s="1"/>
      <c r="AF29" s="49"/>
      <c r="AG29" s="183" t="s">
        <v>52</v>
      </c>
      <c r="AH29" s="183"/>
      <c r="AI29" s="183" t="s">
        <v>106</v>
      </c>
      <c r="AJ29" s="183" t="s">
        <v>109</v>
      </c>
      <c r="AK29" s="50"/>
      <c r="AL29" s="130"/>
      <c r="AM29" s="130"/>
      <c r="AN29" s="1"/>
      <c r="AO29" s="1"/>
    </row>
    <row r="30" spans="2:43" ht="30.75" customHeight="1" x14ac:dyDescent="0.2">
      <c r="B30" s="144" t="s">
        <v>33</v>
      </c>
      <c r="C30" s="157">
        <v>854004712</v>
      </c>
      <c r="D30" s="157">
        <v>600000000</v>
      </c>
      <c r="E30" s="78"/>
      <c r="F30" s="83">
        <f>IF(C30="","",IF(VALUE(LEFT(B30,2))&gt;$D$3,"",$D$4))</f>
        <v>4394854</v>
      </c>
      <c r="G30" s="94">
        <f>IF(VALUE(LEFT(B30,2))&gt;$D$3,"",MIN(C30,$D$4))</f>
        <v>4394854</v>
      </c>
      <c r="H30" s="94">
        <f>IF(VALUE(LEFT(B30,2))&gt;$D$3,"",F30-G30)</f>
        <v>0</v>
      </c>
      <c r="I30" s="84">
        <f>IF(C30="","",IF(VALUE(LEFT(B30,2))&gt;$D$3,"",MAX(ROUNDDOWN($P$3/365,0)-$D$4,0)))</f>
        <v>56354515</v>
      </c>
      <c r="J30" s="94">
        <f>IF(VALUE(LEFT(B30,2))&gt;$D$3,"",MAX(MIN(C30-G30,ROUNDDOWN($P$3/365,0)-G30),0))</f>
        <v>56354515</v>
      </c>
      <c r="K30" s="94">
        <f>IF(VALUE(LEFT(B30,2))&gt;$D$3,"",I30-J30)</f>
        <v>0</v>
      </c>
      <c r="L30" s="84">
        <f>IF(C30="","",IF(VALUE(LEFT(B30,2))&gt;$D$3,"",R30+D30+S30+T30-U30))</f>
        <v>1118528557</v>
      </c>
      <c r="M30" s="102">
        <f>IF(VALUE(LEFT(B30,2))&gt;D$3,"",MAX(MIN(C30-G30-J30,R30+D30+S30+T30-U30),0))</f>
        <v>793255343</v>
      </c>
      <c r="N30" s="102">
        <f>IF(VALUE(LEFT(B30,2))&gt;$D$3,"",L30-M30)</f>
        <v>325273214</v>
      </c>
      <c r="O30" s="14"/>
      <c r="P30" s="91">
        <f>IF(C30="","",IF(VALUE(LEFT(B30,2))&gt;$D$3,"",MAX(C30-(F30+I30+L30),0)))</f>
        <v>0</v>
      </c>
      <c r="Q30" s="15"/>
      <c r="R30" s="86">
        <f>IF(C30="","",IF(VALUE(LEFT(B30,2))&gt;$D$3,"",ROUNDDOWN(ROUNDDOWN($P$3/365,0)*D$5/100,0)+IFERROR(ROUNDDOWN(ROUNDDOWN(T$8/T$9,0)*$D$5/100,0),0)))</f>
        <v>18528557</v>
      </c>
      <c r="S30" s="86">
        <f>IF(C30="","",IF(VALUE(LEFT(B30,2))&gt;$D$3,"",ROUNDDOWN((MAX(D30-E30-$P$4,0)*$D$6/100),0)))</f>
        <v>500000000</v>
      </c>
      <c r="T30" s="84">
        <f>IF(C30="","",IF(VALUE(LEFT(B30,2))&gt;$D$3,"",ROUNDDOWN($T$4/$D$3,0)+$T$6))</f>
        <v>0</v>
      </c>
      <c r="U30" s="91">
        <f>IF(C30="","",IF(VALUE(LEFT(B30,2))&gt;$D$3,"",IF($AA$4="○",ROUNDDOWN((R30+D30+S30+T30)*25/100,0)+ROUNDDOWN(AA$6/$D$3,0),ROUNDDOWN(AA$6/$D$3,0))))</f>
        <v>0</v>
      </c>
      <c r="V30" s="25"/>
      <c r="W30" s="46"/>
      <c r="X30" s="183"/>
      <c r="Y30" s="183"/>
      <c r="Z30" s="256"/>
      <c r="AA30" s="183"/>
      <c r="AB30" s="47"/>
      <c r="AD30" s="4"/>
      <c r="AE30" s="1"/>
      <c r="AF30" s="46"/>
      <c r="AG30" s="183"/>
      <c r="AH30" s="183"/>
      <c r="AI30" s="183"/>
      <c r="AJ30" s="183"/>
      <c r="AK30" s="47"/>
      <c r="AL30" s="4"/>
      <c r="AM30" s="4"/>
      <c r="AN30" s="1"/>
      <c r="AO30" s="1"/>
    </row>
    <row r="31" spans="2:43" ht="20" x14ac:dyDescent="0.2">
      <c r="B31" s="144" t="s">
        <v>34</v>
      </c>
      <c r="C31" s="157">
        <v>854004712</v>
      </c>
      <c r="D31" s="157">
        <v>600000000</v>
      </c>
      <c r="E31" s="78"/>
      <c r="F31" s="83">
        <f>IF(C31="","",IF(VALUE(LEFT(B31,2))&gt;$D$3,"",$D$4))</f>
        <v>4394854</v>
      </c>
      <c r="G31" s="94">
        <f>IF(VALUE(LEFT(B31,2))&gt;$D$3,"",MIN(C31,$D$4))</f>
        <v>4394854</v>
      </c>
      <c r="H31" s="94">
        <f>IF(VALUE(LEFT(B31,2))&gt;$D$3,"",F31-G31)</f>
        <v>0</v>
      </c>
      <c r="I31" s="84">
        <f>IF(C31="","",IF(VALUE(LEFT(B31,2))&gt;$D$3,"",MAX(ROUNDDOWN($P$3/365,0)-$D$4,0)))</f>
        <v>56354515</v>
      </c>
      <c r="J31" s="94">
        <f>IF(VALUE(LEFT(B31,2))&gt;$D$3,"",MAX(MIN(C31-G31,ROUNDDOWN($P$3/365,0)-G31),0))</f>
        <v>56354515</v>
      </c>
      <c r="K31" s="94">
        <f>IF(VALUE(LEFT(B31,2))&gt;$D$3,"",I31-J31)</f>
        <v>0</v>
      </c>
      <c r="L31" s="84">
        <f>IF(C31="","",IF(VALUE(LEFT(B31,2))&gt;$D$3,"",R31+D31+S31+T31-U31))</f>
        <v>1118528557</v>
      </c>
      <c r="M31" s="102">
        <f>IF(VALUE(LEFT(B31,2))&gt;D$3,"",MAX(MIN(C31-G31-J31,R31+D31+S31+T31-U31),0))</f>
        <v>793255343</v>
      </c>
      <c r="N31" s="102">
        <f>IF(VALUE(LEFT(B31,2))&gt;$D$3,"",L31-M31)</f>
        <v>325273214</v>
      </c>
      <c r="O31" s="14"/>
      <c r="P31" s="91">
        <f>IF(C31="","",IF(VALUE(LEFT(B31,2))&gt;$D$3,"",MAX(C31-(F31+I31+L31),0)))</f>
        <v>0</v>
      </c>
      <c r="Q31" s="15"/>
      <c r="R31" s="86">
        <f>IF(C31="","",IF(VALUE(LEFT(B31,2))&gt;$D$3,"",ROUNDDOWN(ROUNDDOWN($P$3/365,0)*D$5/100,0)+IFERROR(ROUNDDOWN(ROUNDDOWN(T$8/T$9,0)*$D$5/100,0),0)))</f>
        <v>18528557</v>
      </c>
      <c r="S31" s="86">
        <f>IF(C31="","",IF(VALUE(LEFT(B31,2))&gt;$D$3,"",ROUNDDOWN((MAX(D31-E31-$P$4,0)*$D$6/100),0)))</f>
        <v>500000000</v>
      </c>
      <c r="T31" s="84">
        <f>IF(C31="","",IF(VALUE(LEFT(B31,2))&gt;$D$3,"",ROUNDDOWN($T$4/$D$3,0)+$T$6))</f>
        <v>0</v>
      </c>
      <c r="U31" s="91">
        <f>IF(C31="","",IF(VALUE(LEFT(B31,2))&gt;$D$3,"",IF($AA$4="○",ROUNDDOWN((R31+D31+S31+T31)*25/100,0)+ROUNDDOWN(AA$6/$D$3,0),ROUNDDOWN(AA$6/$D$3,0))))</f>
        <v>0</v>
      </c>
      <c r="V31" s="2"/>
      <c r="W31" s="49"/>
      <c r="X31" s="183"/>
      <c r="Y31" s="183"/>
      <c r="Z31" s="153">
        <f>$D$4*$D$3</f>
        <v>136240474</v>
      </c>
      <c r="AA31" s="153">
        <f>MAX($Z$31-$AA$16,0)</f>
        <v>0</v>
      </c>
      <c r="AB31" s="51"/>
      <c r="AC31" s="131"/>
      <c r="AD31" s="131"/>
      <c r="AE31" s="1"/>
      <c r="AF31" s="49"/>
      <c r="AG31" s="183"/>
      <c r="AH31" s="183"/>
      <c r="AI31" s="153">
        <f>$AA$31</f>
        <v>0</v>
      </c>
      <c r="AJ31" s="153">
        <f>MAX($AI$31-$AJ$16,0)</f>
        <v>0</v>
      </c>
      <c r="AK31" s="51"/>
      <c r="AL31" s="131"/>
      <c r="AM31" s="131"/>
      <c r="AN31" s="1"/>
      <c r="AO31" s="1"/>
    </row>
    <row r="32" spans="2:43" ht="30.75" customHeight="1" x14ac:dyDescent="0.2">
      <c r="B32" s="144" t="s">
        <v>18</v>
      </c>
      <c r="C32" s="157">
        <v>854004712</v>
      </c>
      <c r="D32" s="157">
        <v>600000000</v>
      </c>
      <c r="E32" s="78"/>
      <c r="F32" s="83">
        <f>IF(C32="","",$D$4)</f>
        <v>4394854</v>
      </c>
      <c r="G32" s="94">
        <f t="shared" ref="G32:G46" si="21">MIN(C32,$D$4)</f>
        <v>4394854</v>
      </c>
      <c r="H32" s="94">
        <f t="shared" si="6"/>
        <v>0</v>
      </c>
      <c r="I32" s="84">
        <f>IF(C32="","",MAX(ROUNDDOWN($P$3/365,0)-$D$4,0))</f>
        <v>56354515</v>
      </c>
      <c r="J32" s="94">
        <f t="shared" ref="J32:J46" si="22">MAX(MIN(C32-G32,ROUNDDOWN($P$3/365,0)-G32),0)</f>
        <v>56354515</v>
      </c>
      <c r="K32" s="94">
        <f>I32-J32</f>
        <v>0</v>
      </c>
      <c r="L32" s="84">
        <f>IF(C32="","",R32+D32+S32+T32-U32)</f>
        <v>1118528557</v>
      </c>
      <c r="M32" s="102">
        <f>MAX(MIN(C32-G32-J32,R32+D32+S32+T32-U32),0)</f>
        <v>793255343</v>
      </c>
      <c r="N32" s="102">
        <f t="shared" si="1"/>
        <v>325273214</v>
      </c>
      <c r="O32" s="14"/>
      <c r="P32" s="91">
        <f t="shared" ref="P32:P46" si="23">IF(C32="","",MAX(C32-(F32+I32+L32),0))</f>
        <v>0</v>
      </c>
      <c r="Q32" s="15"/>
      <c r="R32" s="86">
        <f t="shared" ref="R32:R46" si="24">IF(C32="","",ROUNDDOWN(ROUNDDOWN($P$3/365,0)*$D$5/100,0)+IFERROR(ROUNDDOWN(ROUNDDOWN(T$8/T$9,0)*$D$5/100,0),0))</f>
        <v>18528557</v>
      </c>
      <c r="S32" s="86">
        <f t="shared" si="2"/>
        <v>500000000</v>
      </c>
      <c r="T32" s="84">
        <f t="shared" ref="T32:T46" si="25">IF(C32="","",ROUNDDOWN($T$4/$D$3,0)+$T$6)</f>
        <v>0</v>
      </c>
      <c r="U32" s="91">
        <f t="shared" si="3"/>
        <v>0</v>
      </c>
      <c r="V32" s="2"/>
      <c r="W32" s="46"/>
      <c r="X32" s="183" t="s">
        <v>53</v>
      </c>
      <c r="Y32" s="183"/>
      <c r="Z32" s="256" t="s">
        <v>62</v>
      </c>
      <c r="AA32" s="183" t="s">
        <v>64</v>
      </c>
      <c r="AB32" s="47"/>
      <c r="AD32" s="4"/>
      <c r="AE32" s="1"/>
      <c r="AF32" s="46"/>
      <c r="AG32" s="183" t="s">
        <v>53</v>
      </c>
      <c r="AH32" s="183"/>
      <c r="AI32" s="183" t="s">
        <v>107</v>
      </c>
      <c r="AJ32" s="183" t="s">
        <v>110</v>
      </c>
      <c r="AK32" s="47"/>
      <c r="AL32" s="4"/>
      <c r="AM32" s="4"/>
      <c r="AN32" s="1"/>
      <c r="AO32" s="1"/>
    </row>
    <row r="33" spans="2:41" ht="30.75" customHeight="1" x14ac:dyDescent="0.2">
      <c r="B33" s="144" t="s">
        <v>35</v>
      </c>
      <c r="C33" s="157">
        <v>834004712</v>
      </c>
      <c r="D33" s="157">
        <v>600000000</v>
      </c>
      <c r="E33" s="78"/>
      <c r="F33" s="83">
        <f t="shared" ref="F33:F45" si="26">IF(C33="","",$D$4)</f>
        <v>4394854</v>
      </c>
      <c r="G33" s="94">
        <f t="shared" si="21"/>
        <v>4394854</v>
      </c>
      <c r="H33" s="94">
        <f t="shared" si="6"/>
        <v>0</v>
      </c>
      <c r="I33" s="84">
        <f t="shared" ref="I33:I45" si="27">IF(C33="","",MAX(ROUNDDOWN($P$3/365,0)-$D$4,0))</f>
        <v>56354515</v>
      </c>
      <c r="J33" s="94">
        <f t="shared" si="22"/>
        <v>56354515</v>
      </c>
      <c r="K33" s="94">
        <f t="shared" si="9"/>
        <v>0</v>
      </c>
      <c r="L33" s="84">
        <f>IF(C33="","",R33+D33+S33+T33-U33)</f>
        <v>1118528557</v>
      </c>
      <c r="M33" s="102">
        <f t="shared" ref="M33:M45" si="28">MAX(MIN(C33-G33-J33,R33+D33+S33+T33-U33),0)</f>
        <v>773255343</v>
      </c>
      <c r="N33" s="102">
        <f t="shared" si="1"/>
        <v>345273214</v>
      </c>
      <c r="O33" s="14"/>
      <c r="P33" s="91">
        <f t="shared" si="23"/>
        <v>0</v>
      </c>
      <c r="Q33" s="15"/>
      <c r="R33" s="86">
        <f t="shared" si="24"/>
        <v>18528557</v>
      </c>
      <c r="S33" s="86">
        <f t="shared" si="2"/>
        <v>500000000</v>
      </c>
      <c r="T33" s="84">
        <f t="shared" si="25"/>
        <v>0</v>
      </c>
      <c r="U33" s="91">
        <f t="shared" si="3"/>
        <v>0</v>
      </c>
      <c r="V33" s="2"/>
      <c r="W33" s="46"/>
      <c r="X33" s="183"/>
      <c r="Y33" s="183"/>
      <c r="Z33" s="256"/>
      <c r="AA33" s="183"/>
      <c r="AB33" s="47"/>
      <c r="AD33" s="4"/>
      <c r="AE33" s="1"/>
      <c r="AF33" s="46"/>
      <c r="AG33" s="183"/>
      <c r="AH33" s="183"/>
      <c r="AI33" s="183"/>
      <c r="AJ33" s="183"/>
      <c r="AK33" s="47"/>
      <c r="AL33" s="4"/>
      <c r="AM33" s="4"/>
      <c r="AN33" s="1"/>
      <c r="AO33" s="1"/>
    </row>
    <row r="34" spans="2:41" ht="30.75" customHeight="1" x14ac:dyDescent="0.2">
      <c r="B34" s="144" t="s">
        <v>36</v>
      </c>
      <c r="C34" s="157">
        <v>874004712</v>
      </c>
      <c r="D34" s="157">
        <v>600000000</v>
      </c>
      <c r="E34" s="78"/>
      <c r="F34" s="83">
        <f t="shared" si="26"/>
        <v>4394854</v>
      </c>
      <c r="G34" s="94">
        <f t="shared" si="21"/>
        <v>4394854</v>
      </c>
      <c r="H34" s="94">
        <f t="shared" si="6"/>
        <v>0</v>
      </c>
      <c r="I34" s="84">
        <f t="shared" si="27"/>
        <v>56354515</v>
      </c>
      <c r="J34" s="94">
        <f t="shared" si="22"/>
        <v>56354515</v>
      </c>
      <c r="K34" s="94">
        <f t="shared" si="9"/>
        <v>0</v>
      </c>
      <c r="L34" s="84">
        <f t="shared" ref="L34:L46" si="29">IF(C34="","",R34+D34+S34+T34-U34)</f>
        <v>1118528557</v>
      </c>
      <c r="M34" s="102">
        <f t="shared" si="28"/>
        <v>813255343</v>
      </c>
      <c r="N34" s="102">
        <f t="shared" si="1"/>
        <v>305273214</v>
      </c>
      <c r="O34" s="14"/>
      <c r="P34" s="91">
        <f t="shared" si="23"/>
        <v>0</v>
      </c>
      <c r="Q34" s="15"/>
      <c r="R34" s="86">
        <f t="shared" si="24"/>
        <v>18528557</v>
      </c>
      <c r="S34" s="86">
        <f t="shared" si="2"/>
        <v>500000000</v>
      </c>
      <c r="T34" s="84">
        <f t="shared" si="25"/>
        <v>0</v>
      </c>
      <c r="U34" s="91">
        <f t="shared" si="3"/>
        <v>0</v>
      </c>
      <c r="V34" s="2"/>
      <c r="W34" s="49"/>
      <c r="X34" s="183"/>
      <c r="Y34" s="183"/>
      <c r="Z34" s="153">
        <f>MAX(ROUNDDOWN($P$3*$D$3/365,0)-$D$4*$D$3,0)</f>
        <v>1746989980</v>
      </c>
      <c r="AA34" s="153">
        <f>MAX($Z$34-$AA$18,0)</f>
        <v>0</v>
      </c>
      <c r="AB34" s="47"/>
      <c r="AD34" s="4"/>
      <c r="AE34" s="1"/>
      <c r="AF34" s="49"/>
      <c r="AG34" s="183"/>
      <c r="AH34" s="183"/>
      <c r="AI34" s="153">
        <f>$AA$34</f>
        <v>0</v>
      </c>
      <c r="AJ34" s="153">
        <f>MAX($AI$34-$AJ$18,0)</f>
        <v>0</v>
      </c>
      <c r="AK34" s="47"/>
      <c r="AL34" s="4"/>
      <c r="AM34" s="4"/>
      <c r="AN34" s="1"/>
      <c r="AO34" s="1"/>
    </row>
    <row r="35" spans="2:41" ht="30.75" customHeight="1" x14ac:dyDescent="0.2">
      <c r="B35" s="144" t="s">
        <v>37</v>
      </c>
      <c r="C35" s="157">
        <v>874004712</v>
      </c>
      <c r="D35" s="157">
        <v>600000000</v>
      </c>
      <c r="E35" s="78"/>
      <c r="F35" s="83">
        <f t="shared" si="26"/>
        <v>4394854</v>
      </c>
      <c r="G35" s="94">
        <f t="shared" si="21"/>
        <v>4394854</v>
      </c>
      <c r="H35" s="94">
        <f t="shared" si="6"/>
        <v>0</v>
      </c>
      <c r="I35" s="84">
        <f t="shared" si="27"/>
        <v>56354515</v>
      </c>
      <c r="J35" s="94">
        <f t="shared" si="22"/>
        <v>56354515</v>
      </c>
      <c r="K35" s="94">
        <f t="shared" si="9"/>
        <v>0</v>
      </c>
      <c r="L35" s="84">
        <f t="shared" si="29"/>
        <v>1118528557</v>
      </c>
      <c r="M35" s="102">
        <f t="shared" si="28"/>
        <v>813255343</v>
      </c>
      <c r="N35" s="102">
        <f t="shared" si="1"/>
        <v>305273214</v>
      </c>
      <c r="O35" s="14"/>
      <c r="P35" s="91">
        <f t="shared" si="23"/>
        <v>0</v>
      </c>
      <c r="Q35" s="15"/>
      <c r="R35" s="86">
        <f t="shared" si="24"/>
        <v>18528557</v>
      </c>
      <c r="S35" s="86">
        <f t="shared" si="2"/>
        <v>500000000</v>
      </c>
      <c r="T35" s="84">
        <f t="shared" si="25"/>
        <v>0</v>
      </c>
      <c r="U35" s="91">
        <f t="shared" si="3"/>
        <v>0</v>
      </c>
      <c r="V35" s="2"/>
      <c r="W35" s="46"/>
      <c r="X35" s="183" t="s">
        <v>57</v>
      </c>
      <c r="Y35" s="183"/>
      <c r="Z35" s="256" t="s">
        <v>115</v>
      </c>
      <c r="AA35" s="183" t="s">
        <v>116</v>
      </c>
      <c r="AB35" s="47"/>
      <c r="AD35" s="4"/>
      <c r="AE35" s="1"/>
      <c r="AF35" s="46"/>
      <c r="AG35" s="183" t="s">
        <v>57</v>
      </c>
      <c r="AH35" s="183"/>
      <c r="AI35" s="183" t="s">
        <v>117</v>
      </c>
      <c r="AJ35" s="183" t="s">
        <v>118</v>
      </c>
      <c r="AK35" s="47"/>
      <c r="AL35" s="4"/>
      <c r="AM35" s="4"/>
      <c r="AN35" s="1"/>
      <c r="AO35" s="1"/>
    </row>
    <row r="36" spans="2:41" ht="30.75" customHeight="1" x14ac:dyDescent="0.2">
      <c r="B36" s="144" t="s">
        <v>38</v>
      </c>
      <c r="C36" s="157">
        <v>894004712</v>
      </c>
      <c r="D36" s="157">
        <v>600000000</v>
      </c>
      <c r="E36" s="78"/>
      <c r="F36" s="83">
        <f t="shared" si="26"/>
        <v>4394854</v>
      </c>
      <c r="G36" s="94">
        <f t="shared" si="21"/>
        <v>4394854</v>
      </c>
      <c r="H36" s="94">
        <f t="shared" si="6"/>
        <v>0</v>
      </c>
      <c r="I36" s="84">
        <f t="shared" si="27"/>
        <v>56354515</v>
      </c>
      <c r="J36" s="94">
        <f t="shared" si="22"/>
        <v>56354515</v>
      </c>
      <c r="K36" s="94">
        <f t="shared" si="9"/>
        <v>0</v>
      </c>
      <c r="L36" s="84">
        <f t="shared" si="29"/>
        <v>1118528557</v>
      </c>
      <c r="M36" s="102">
        <f t="shared" si="28"/>
        <v>833255343</v>
      </c>
      <c r="N36" s="102">
        <f t="shared" si="1"/>
        <v>285273214</v>
      </c>
      <c r="O36" s="14"/>
      <c r="P36" s="91">
        <f t="shared" si="23"/>
        <v>0</v>
      </c>
      <c r="Q36" s="15"/>
      <c r="R36" s="86">
        <f t="shared" si="24"/>
        <v>18528557</v>
      </c>
      <c r="S36" s="86">
        <f t="shared" si="2"/>
        <v>500000000</v>
      </c>
      <c r="T36" s="84">
        <f t="shared" si="25"/>
        <v>0</v>
      </c>
      <c r="U36" s="91">
        <f t="shared" si="3"/>
        <v>0</v>
      </c>
      <c r="V36" s="2"/>
      <c r="W36" s="49"/>
      <c r="X36" s="183"/>
      <c r="Y36" s="183"/>
      <c r="Z36" s="256"/>
      <c r="AA36" s="183"/>
      <c r="AB36" s="50"/>
      <c r="AC36" s="130"/>
      <c r="AD36" s="130"/>
      <c r="AE36" s="1"/>
      <c r="AF36" s="49"/>
      <c r="AG36" s="183"/>
      <c r="AH36" s="183"/>
      <c r="AI36" s="183"/>
      <c r="AJ36" s="183"/>
      <c r="AK36" s="50"/>
      <c r="AL36" s="130"/>
      <c r="AM36" s="130"/>
      <c r="AN36" s="1"/>
      <c r="AO36" s="1"/>
    </row>
    <row r="37" spans="2:41" ht="30.75" customHeight="1" x14ac:dyDescent="0.2">
      <c r="B37" s="144" t="s">
        <v>39</v>
      </c>
      <c r="C37" s="157">
        <v>894004712</v>
      </c>
      <c r="D37" s="157">
        <v>800000000</v>
      </c>
      <c r="E37" s="78"/>
      <c r="F37" s="83">
        <f t="shared" si="26"/>
        <v>4394854</v>
      </c>
      <c r="G37" s="94">
        <f t="shared" si="21"/>
        <v>4394854</v>
      </c>
      <c r="H37" s="94">
        <f t="shared" si="6"/>
        <v>0</v>
      </c>
      <c r="I37" s="84">
        <f>IF(C37="","",MAX(ROUNDDOWN($P$3/365,0)-$D$4,0))</f>
        <v>56354515</v>
      </c>
      <c r="J37" s="94">
        <f t="shared" si="22"/>
        <v>56354515</v>
      </c>
      <c r="K37" s="94">
        <f t="shared" si="9"/>
        <v>0</v>
      </c>
      <c r="L37" s="84">
        <f t="shared" si="29"/>
        <v>1518528557</v>
      </c>
      <c r="M37" s="102">
        <f t="shared" si="28"/>
        <v>833255343</v>
      </c>
      <c r="N37" s="102">
        <f t="shared" si="1"/>
        <v>685273214</v>
      </c>
      <c r="O37" s="14"/>
      <c r="P37" s="91">
        <f t="shared" si="23"/>
        <v>0</v>
      </c>
      <c r="Q37" s="15"/>
      <c r="R37" s="86">
        <f t="shared" si="24"/>
        <v>18528557</v>
      </c>
      <c r="S37" s="86">
        <f t="shared" si="2"/>
        <v>700000000</v>
      </c>
      <c r="T37" s="84">
        <f t="shared" si="25"/>
        <v>0</v>
      </c>
      <c r="U37" s="91">
        <f t="shared" si="3"/>
        <v>0</v>
      </c>
      <c r="V37" s="2"/>
      <c r="W37" s="46"/>
      <c r="X37" s="183"/>
      <c r="Y37" s="183"/>
      <c r="Z37" s="153">
        <f>M52-IF(AA4="○",INT(M52*25/100),0)-AA6</f>
        <v>34674385288</v>
      </c>
      <c r="AA37" s="153">
        <f>MAX(Z37-AA20,0)</f>
        <v>31887592182</v>
      </c>
      <c r="AB37" s="47"/>
      <c r="AD37" s="4"/>
      <c r="AE37" s="1"/>
      <c r="AF37" s="46"/>
      <c r="AG37" s="183"/>
      <c r="AH37" s="183"/>
      <c r="AI37" s="153">
        <f>$AA$37</f>
        <v>31887592182</v>
      </c>
      <c r="AJ37" s="153">
        <f>MAX(AI37-$AJ$20,0)</f>
        <v>11223469670</v>
      </c>
      <c r="AK37" s="47"/>
      <c r="AL37" s="4"/>
      <c r="AM37" s="4"/>
      <c r="AN37" s="1"/>
      <c r="AO37" s="1"/>
    </row>
    <row r="38" spans="2:41" ht="30.75" customHeight="1" x14ac:dyDescent="0.2">
      <c r="B38" s="144" t="s">
        <v>40</v>
      </c>
      <c r="C38" s="157">
        <v>894004712</v>
      </c>
      <c r="D38" s="157">
        <v>800000000</v>
      </c>
      <c r="E38" s="78"/>
      <c r="F38" s="83">
        <f t="shared" si="26"/>
        <v>4394854</v>
      </c>
      <c r="G38" s="94">
        <f t="shared" si="21"/>
        <v>4394854</v>
      </c>
      <c r="H38" s="94">
        <f t="shared" si="6"/>
        <v>0</v>
      </c>
      <c r="I38" s="84">
        <f t="shared" si="27"/>
        <v>56354515</v>
      </c>
      <c r="J38" s="94">
        <f t="shared" si="22"/>
        <v>56354515</v>
      </c>
      <c r="K38" s="94">
        <f t="shared" si="9"/>
        <v>0</v>
      </c>
      <c r="L38" s="84">
        <f t="shared" si="29"/>
        <v>1518528557</v>
      </c>
      <c r="M38" s="102">
        <f t="shared" si="28"/>
        <v>833255343</v>
      </c>
      <c r="N38" s="102">
        <f t="shared" si="1"/>
        <v>685273214</v>
      </c>
      <c r="O38" s="14"/>
      <c r="P38" s="91">
        <f t="shared" si="23"/>
        <v>0</v>
      </c>
      <c r="Q38" s="15"/>
      <c r="R38" s="86">
        <f t="shared" si="24"/>
        <v>18528557</v>
      </c>
      <c r="S38" s="86">
        <f t="shared" si="2"/>
        <v>700000000</v>
      </c>
      <c r="T38" s="84">
        <f t="shared" si="25"/>
        <v>0</v>
      </c>
      <c r="U38" s="91">
        <f t="shared" si="3"/>
        <v>0</v>
      </c>
      <c r="V38" s="2"/>
      <c r="W38" s="49"/>
      <c r="X38" s="181" t="s">
        <v>74</v>
      </c>
      <c r="Y38" s="181"/>
      <c r="Z38" s="181"/>
      <c r="AA38" s="182" t="str">
        <f>IF(($AA$20+$AJ$20)&lt;$M$52*50/100,"○","")</f>
        <v/>
      </c>
      <c r="AB38" s="47"/>
      <c r="AD38" s="4"/>
      <c r="AE38" s="1"/>
      <c r="AF38" s="49"/>
      <c r="AG38" s="181" t="s">
        <v>74</v>
      </c>
      <c r="AH38" s="181"/>
      <c r="AI38" s="181"/>
      <c r="AJ38" s="182" t="str">
        <f>IF(($AA$20+$AJ$20)&lt;$M$52*50/100,"○","")</f>
        <v/>
      </c>
      <c r="AK38" s="47"/>
      <c r="AL38" s="4"/>
      <c r="AM38" s="4"/>
      <c r="AN38" s="1"/>
      <c r="AO38" s="1"/>
    </row>
    <row r="39" spans="2:41" ht="30.75" customHeight="1" x14ac:dyDescent="0.2">
      <c r="B39" s="144" t="s">
        <v>41</v>
      </c>
      <c r="C39" s="157">
        <v>894004712</v>
      </c>
      <c r="D39" s="157">
        <v>800000000</v>
      </c>
      <c r="E39" s="78"/>
      <c r="F39" s="83">
        <f t="shared" si="26"/>
        <v>4394854</v>
      </c>
      <c r="G39" s="94">
        <f t="shared" si="21"/>
        <v>4394854</v>
      </c>
      <c r="H39" s="94">
        <f t="shared" si="6"/>
        <v>0</v>
      </c>
      <c r="I39" s="84">
        <f t="shared" si="27"/>
        <v>56354515</v>
      </c>
      <c r="J39" s="94">
        <f t="shared" si="22"/>
        <v>56354515</v>
      </c>
      <c r="K39" s="94">
        <f t="shared" si="9"/>
        <v>0</v>
      </c>
      <c r="L39" s="84">
        <f t="shared" si="29"/>
        <v>1518528557</v>
      </c>
      <c r="M39" s="102">
        <f t="shared" si="28"/>
        <v>833255343</v>
      </c>
      <c r="N39" s="102">
        <f t="shared" si="1"/>
        <v>685273214</v>
      </c>
      <c r="O39" s="14"/>
      <c r="P39" s="91">
        <f t="shared" si="23"/>
        <v>0</v>
      </c>
      <c r="Q39" s="15"/>
      <c r="R39" s="86">
        <f t="shared" si="24"/>
        <v>18528557</v>
      </c>
      <c r="S39" s="86">
        <f t="shared" si="2"/>
        <v>700000000</v>
      </c>
      <c r="T39" s="84">
        <f t="shared" si="25"/>
        <v>0</v>
      </c>
      <c r="U39" s="91">
        <f t="shared" si="3"/>
        <v>0</v>
      </c>
      <c r="V39" s="2"/>
      <c r="W39" s="46"/>
      <c r="X39" s="181"/>
      <c r="Y39" s="181"/>
      <c r="Z39" s="181"/>
      <c r="AA39" s="182"/>
      <c r="AB39" s="47"/>
      <c r="AD39" s="4"/>
      <c r="AE39" s="1"/>
      <c r="AF39" s="46"/>
      <c r="AG39" s="181"/>
      <c r="AH39" s="181"/>
      <c r="AI39" s="181"/>
      <c r="AJ39" s="182"/>
      <c r="AK39" s="47"/>
      <c r="AL39" s="4"/>
      <c r="AM39" s="4"/>
      <c r="AN39" s="1"/>
      <c r="AO39" s="1"/>
    </row>
    <row r="40" spans="2:41" ht="30.75" customHeight="1" thickBot="1" x14ac:dyDescent="0.25">
      <c r="B40" s="144" t="s">
        <v>42</v>
      </c>
      <c r="C40" s="157">
        <v>894004712</v>
      </c>
      <c r="D40" s="157">
        <v>800000000</v>
      </c>
      <c r="E40" s="78"/>
      <c r="F40" s="83">
        <f t="shared" si="26"/>
        <v>4394854</v>
      </c>
      <c r="G40" s="94">
        <f t="shared" si="21"/>
        <v>4394854</v>
      </c>
      <c r="H40" s="94">
        <f t="shared" si="6"/>
        <v>0</v>
      </c>
      <c r="I40" s="84">
        <f t="shared" si="27"/>
        <v>56354515</v>
      </c>
      <c r="J40" s="94">
        <f t="shared" si="22"/>
        <v>56354515</v>
      </c>
      <c r="K40" s="94">
        <f t="shared" si="9"/>
        <v>0</v>
      </c>
      <c r="L40" s="84">
        <f t="shared" si="29"/>
        <v>1518528557</v>
      </c>
      <c r="M40" s="102">
        <f t="shared" si="28"/>
        <v>833255343</v>
      </c>
      <c r="N40" s="102">
        <f t="shared" si="1"/>
        <v>685273214</v>
      </c>
      <c r="O40" s="14"/>
      <c r="P40" s="91">
        <f t="shared" si="23"/>
        <v>0</v>
      </c>
      <c r="Q40" s="15"/>
      <c r="R40" s="86">
        <f t="shared" si="24"/>
        <v>18528557</v>
      </c>
      <c r="S40" s="86">
        <f t="shared" si="2"/>
        <v>700000000</v>
      </c>
      <c r="T40" s="84">
        <f t="shared" si="25"/>
        <v>0</v>
      </c>
      <c r="U40" s="91">
        <f t="shared" si="3"/>
        <v>0</v>
      </c>
      <c r="V40" s="2"/>
      <c r="W40" s="76"/>
      <c r="X40" s="53"/>
      <c r="Y40" s="53"/>
      <c r="Z40" s="53"/>
      <c r="AA40" s="53"/>
      <c r="AB40" s="73"/>
      <c r="AD40" s="4"/>
      <c r="AE40" s="1"/>
      <c r="AF40" s="76"/>
      <c r="AG40" s="53"/>
      <c r="AH40" s="53"/>
      <c r="AI40" s="53"/>
      <c r="AJ40" s="53"/>
      <c r="AK40" s="73"/>
      <c r="AL40" s="4"/>
      <c r="AM40" s="4"/>
      <c r="AN40" s="1"/>
      <c r="AO40" s="1"/>
    </row>
    <row r="41" spans="2:41" ht="30.75" customHeight="1" x14ac:dyDescent="0.2">
      <c r="B41" s="144" t="s">
        <v>43</v>
      </c>
      <c r="C41" s="157">
        <v>894004712</v>
      </c>
      <c r="D41" s="157">
        <v>800000000</v>
      </c>
      <c r="E41" s="78"/>
      <c r="F41" s="83">
        <f t="shared" si="26"/>
        <v>4394854</v>
      </c>
      <c r="G41" s="94">
        <f t="shared" si="21"/>
        <v>4394854</v>
      </c>
      <c r="H41" s="94">
        <f t="shared" si="6"/>
        <v>0</v>
      </c>
      <c r="I41" s="84">
        <f t="shared" si="27"/>
        <v>56354515</v>
      </c>
      <c r="J41" s="94">
        <f t="shared" si="22"/>
        <v>56354515</v>
      </c>
      <c r="K41" s="94">
        <f t="shared" si="9"/>
        <v>0</v>
      </c>
      <c r="L41" s="84">
        <f t="shared" si="29"/>
        <v>1518528557</v>
      </c>
      <c r="M41" s="102">
        <f t="shared" si="28"/>
        <v>833255343</v>
      </c>
      <c r="N41" s="102">
        <f t="shared" si="1"/>
        <v>685273214</v>
      </c>
      <c r="O41" s="14"/>
      <c r="P41" s="91">
        <f t="shared" si="23"/>
        <v>0</v>
      </c>
      <c r="Q41" s="15"/>
      <c r="R41" s="86">
        <f t="shared" si="24"/>
        <v>18528557</v>
      </c>
      <c r="S41" s="86">
        <f t="shared" si="2"/>
        <v>700000000</v>
      </c>
      <c r="T41" s="84">
        <f t="shared" si="25"/>
        <v>0</v>
      </c>
      <c r="U41" s="91">
        <f t="shared" si="3"/>
        <v>0</v>
      </c>
      <c r="V41" s="2"/>
      <c r="W41" s="8"/>
      <c r="X41" s="8"/>
      <c r="Y41" s="8"/>
      <c r="Z41" s="8"/>
      <c r="AA41" s="8"/>
      <c r="AB41" s="4"/>
      <c r="AD41" s="4"/>
      <c r="AE41" s="8"/>
      <c r="AF41" s="8"/>
      <c r="AG41" s="8"/>
      <c r="AH41" s="8"/>
      <c r="AI41" s="8"/>
      <c r="AJ41" s="8"/>
      <c r="AK41" s="4"/>
      <c r="AL41" s="4"/>
      <c r="AM41" s="4"/>
      <c r="AN41" s="1"/>
      <c r="AO41" s="1"/>
    </row>
    <row r="42" spans="2:41" ht="30.75" customHeight="1" x14ac:dyDescent="0.2">
      <c r="B42" s="144" t="s">
        <v>44</v>
      </c>
      <c r="C42" s="157">
        <v>894004712</v>
      </c>
      <c r="D42" s="157">
        <v>800000000</v>
      </c>
      <c r="E42" s="78"/>
      <c r="F42" s="83">
        <f t="shared" si="26"/>
        <v>4394854</v>
      </c>
      <c r="G42" s="94">
        <f t="shared" si="21"/>
        <v>4394854</v>
      </c>
      <c r="H42" s="94">
        <f t="shared" si="6"/>
        <v>0</v>
      </c>
      <c r="I42" s="84">
        <f t="shared" si="27"/>
        <v>56354515</v>
      </c>
      <c r="J42" s="94">
        <f t="shared" si="22"/>
        <v>56354515</v>
      </c>
      <c r="K42" s="94">
        <f t="shared" si="9"/>
        <v>0</v>
      </c>
      <c r="L42" s="84">
        <f>IF(C42="","",R42+D42+S42+T42-U42)</f>
        <v>1518528557</v>
      </c>
      <c r="M42" s="102">
        <f t="shared" si="28"/>
        <v>833255343</v>
      </c>
      <c r="N42" s="102">
        <f t="shared" si="1"/>
        <v>685273214</v>
      </c>
      <c r="O42" s="14"/>
      <c r="P42" s="91">
        <f t="shared" si="23"/>
        <v>0</v>
      </c>
      <c r="Q42" s="15"/>
      <c r="R42" s="86">
        <f t="shared" si="24"/>
        <v>18528557</v>
      </c>
      <c r="S42" s="86">
        <f t="shared" si="2"/>
        <v>700000000</v>
      </c>
      <c r="T42" s="84">
        <f t="shared" si="25"/>
        <v>0</v>
      </c>
      <c r="U42" s="91">
        <f t="shared" si="3"/>
        <v>0</v>
      </c>
      <c r="V42" s="2"/>
      <c r="W42" s="8"/>
      <c r="X42" s="8"/>
      <c r="Y42" s="8"/>
      <c r="Z42" s="8"/>
      <c r="AA42" s="8"/>
      <c r="AB42" s="4"/>
      <c r="AD42" s="4"/>
      <c r="AE42" s="8"/>
      <c r="AF42" s="8"/>
      <c r="AG42" s="8"/>
      <c r="AH42" s="8"/>
      <c r="AI42" s="8"/>
      <c r="AJ42" s="8"/>
      <c r="AK42" s="4"/>
      <c r="AL42" s="4"/>
      <c r="AM42" s="4"/>
      <c r="AN42" s="1"/>
      <c r="AO42" s="1"/>
    </row>
    <row r="43" spans="2:41" ht="30.75" customHeight="1" x14ac:dyDescent="0.2">
      <c r="B43" s="144" t="s">
        <v>45</v>
      </c>
      <c r="C43" s="157">
        <v>894004712</v>
      </c>
      <c r="D43" s="157">
        <v>800000000</v>
      </c>
      <c r="E43" s="78"/>
      <c r="F43" s="83">
        <f t="shared" si="26"/>
        <v>4394854</v>
      </c>
      <c r="G43" s="94">
        <f t="shared" si="21"/>
        <v>4394854</v>
      </c>
      <c r="H43" s="94">
        <f t="shared" si="6"/>
        <v>0</v>
      </c>
      <c r="I43" s="84">
        <f t="shared" si="27"/>
        <v>56354515</v>
      </c>
      <c r="J43" s="94">
        <f t="shared" si="22"/>
        <v>56354515</v>
      </c>
      <c r="K43" s="94">
        <f t="shared" si="9"/>
        <v>0</v>
      </c>
      <c r="L43" s="84">
        <f t="shared" si="29"/>
        <v>1518528557</v>
      </c>
      <c r="M43" s="102">
        <f>MAX(MIN(C43-G43-J43,R43+D43+S43+T43-U43),0)</f>
        <v>833255343</v>
      </c>
      <c r="N43" s="102">
        <f t="shared" si="1"/>
        <v>685273214</v>
      </c>
      <c r="O43" s="14"/>
      <c r="P43" s="91">
        <f t="shared" si="23"/>
        <v>0</v>
      </c>
      <c r="Q43" s="15"/>
      <c r="R43" s="86">
        <f t="shared" si="24"/>
        <v>18528557</v>
      </c>
      <c r="S43" s="86">
        <f t="shared" si="2"/>
        <v>700000000</v>
      </c>
      <c r="T43" s="84">
        <f t="shared" si="25"/>
        <v>0</v>
      </c>
      <c r="U43" s="91">
        <f t="shared" si="3"/>
        <v>0</v>
      </c>
      <c r="V43" s="2"/>
      <c r="W43" s="8"/>
      <c r="X43" s="8"/>
      <c r="Y43" s="8"/>
      <c r="Z43" s="8"/>
      <c r="AA43" s="8"/>
      <c r="AB43" s="4"/>
      <c r="AD43" s="4"/>
      <c r="AE43" s="8"/>
      <c r="AF43" s="8"/>
      <c r="AG43" s="8"/>
      <c r="AH43" s="8"/>
      <c r="AI43" s="8"/>
      <c r="AJ43" s="8"/>
      <c r="AK43" s="4"/>
      <c r="AL43" s="4"/>
      <c r="AM43" s="4"/>
      <c r="AN43" s="1"/>
      <c r="AO43" s="1"/>
    </row>
    <row r="44" spans="2:41" ht="30.75" customHeight="1" x14ac:dyDescent="0.2">
      <c r="B44" s="144" t="s">
        <v>46</v>
      </c>
      <c r="C44" s="157">
        <v>894004712</v>
      </c>
      <c r="D44" s="157">
        <v>800000000</v>
      </c>
      <c r="E44" s="78"/>
      <c r="F44" s="83">
        <f t="shared" si="26"/>
        <v>4394854</v>
      </c>
      <c r="G44" s="94">
        <f t="shared" si="21"/>
        <v>4394854</v>
      </c>
      <c r="H44" s="94">
        <f t="shared" si="6"/>
        <v>0</v>
      </c>
      <c r="I44" s="84">
        <f t="shared" si="27"/>
        <v>56354515</v>
      </c>
      <c r="J44" s="94">
        <f t="shared" si="22"/>
        <v>56354515</v>
      </c>
      <c r="K44" s="94">
        <f>I44-J44</f>
        <v>0</v>
      </c>
      <c r="L44" s="84">
        <f>IF(C44="","",R44+D44+S44+T44-U44)</f>
        <v>1518528557</v>
      </c>
      <c r="M44" s="102">
        <f t="shared" si="28"/>
        <v>833255343</v>
      </c>
      <c r="N44" s="102">
        <f t="shared" si="1"/>
        <v>685273214</v>
      </c>
      <c r="O44" s="14"/>
      <c r="P44" s="91">
        <f t="shared" si="23"/>
        <v>0</v>
      </c>
      <c r="Q44" s="15"/>
      <c r="R44" s="86">
        <f t="shared" si="24"/>
        <v>18528557</v>
      </c>
      <c r="S44" s="86">
        <f t="shared" si="2"/>
        <v>700000000</v>
      </c>
      <c r="T44" s="84">
        <f t="shared" si="25"/>
        <v>0</v>
      </c>
      <c r="U44" s="91">
        <f t="shared" si="3"/>
        <v>0</v>
      </c>
      <c r="V44" s="2"/>
      <c r="AC44" s="9"/>
      <c r="AD44" s="9"/>
      <c r="AE44" s="1"/>
      <c r="AF44" s="1"/>
      <c r="AL44" s="9"/>
      <c r="AM44" s="9"/>
      <c r="AN44" s="1"/>
      <c r="AO44" s="1"/>
    </row>
    <row r="45" spans="2:41" ht="30.75" customHeight="1" x14ac:dyDescent="0.2">
      <c r="B45" s="144" t="s">
        <v>47</v>
      </c>
      <c r="C45" s="157">
        <v>894004712</v>
      </c>
      <c r="D45" s="157">
        <v>800000000</v>
      </c>
      <c r="E45" s="78"/>
      <c r="F45" s="83">
        <f t="shared" si="26"/>
        <v>4394854</v>
      </c>
      <c r="G45" s="94">
        <f t="shared" si="21"/>
        <v>4394854</v>
      </c>
      <c r="H45" s="94">
        <f t="shared" si="6"/>
        <v>0</v>
      </c>
      <c r="I45" s="84">
        <f t="shared" si="27"/>
        <v>56354515</v>
      </c>
      <c r="J45" s="94">
        <f>MAX(MIN(C45-G45,ROUNDDOWN($P$3/365,0)-G45),0)</f>
        <v>56354515</v>
      </c>
      <c r="K45" s="94">
        <f t="shared" si="9"/>
        <v>0</v>
      </c>
      <c r="L45" s="84">
        <f t="shared" si="29"/>
        <v>1518528557</v>
      </c>
      <c r="M45" s="102">
        <f t="shared" si="28"/>
        <v>833255343</v>
      </c>
      <c r="N45" s="102">
        <f t="shared" si="1"/>
        <v>685273214</v>
      </c>
      <c r="O45" s="14"/>
      <c r="P45" s="91">
        <f t="shared" si="23"/>
        <v>0</v>
      </c>
      <c r="Q45" s="15"/>
      <c r="R45" s="86">
        <f t="shared" si="24"/>
        <v>18528557</v>
      </c>
      <c r="S45" s="86">
        <f t="shared" si="2"/>
        <v>700000000</v>
      </c>
      <c r="T45" s="84">
        <f t="shared" si="25"/>
        <v>0</v>
      </c>
      <c r="U45" s="91">
        <f t="shared" si="3"/>
        <v>0</v>
      </c>
      <c r="V45" s="2"/>
      <c r="AC45" s="9"/>
      <c r="AD45" s="9"/>
      <c r="AE45" s="1"/>
      <c r="AF45" s="1"/>
      <c r="AL45" s="9"/>
      <c r="AM45" s="9"/>
      <c r="AN45" s="1"/>
      <c r="AO45" s="1"/>
    </row>
    <row r="46" spans="2:41" ht="30.75" customHeight="1" thickBot="1" x14ac:dyDescent="0.25">
      <c r="B46" s="145" t="s">
        <v>48</v>
      </c>
      <c r="C46" s="169">
        <v>894004712</v>
      </c>
      <c r="D46" s="169">
        <v>800000000</v>
      </c>
      <c r="E46" s="81"/>
      <c r="F46" s="83">
        <f>IF(C46="","",$D$4)</f>
        <v>4394854</v>
      </c>
      <c r="G46" s="94">
        <f t="shared" si="21"/>
        <v>4394854</v>
      </c>
      <c r="H46" s="94">
        <f t="shared" si="6"/>
        <v>0</v>
      </c>
      <c r="I46" s="84">
        <f>IF(C46="","",MAX(ROUNDDOWN($P$3/365,0)-$D$4,0))</f>
        <v>56354515</v>
      </c>
      <c r="J46" s="94">
        <f t="shared" si="22"/>
        <v>56354515</v>
      </c>
      <c r="K46" s="94">
        <f t="shared" si="9"/>
        <v>0</v>
      </c>
      <c r="L46" s="84">
        <f t="shared" si="29"/>
        <v>1518528557</v>
      </c>
      <c r="M46" s="102">
        <f>MAX(MIN(C46-G46-J46,R46+D46+S46+T46-U46),0)</f>
        <v>833255343</v>
      </c>
      <c r="N46" s="102">
        <f t="shared" si="1"/>
        <v>685273214</v>
      </c>
      <c r="O46" s="14"/>
      <c r="P46" s="91">
        <f t="shared" si="23"/>
        <v>0</v>
      </c>
      <c r="Q46" s="15"/>
      <c r="R46" s="86">
        <f t="shared" si="24"/>
        <v>18528557</v>
      </c>
      <c r="S46" s="86">
        <f t="shared" si="2"/>
        <v>700000000</v>
      </c>
      <c r="T46" s="84">
        <f t="shared" si="25"/>
        <v>0</v>
      </c>
      <c r="U46" s="91">
        <f t="shared" si="3"/>
        <v>0</v>
      </c>
      <c r="V46" s="2"/>
      <c r="AC46" s="9"/>
      <c r="AD46" s="9"/>
      <c r="AE46" s="1"/>
      <c r="AF46" s="1"/>
      <c r="AL46" s="9"/>
      <c r="AM46" s="9"/>
      <c r="AN46" s="1"/>
      <c r="AO46" s="1"/>
    </row>
    <row r="47" spans="2:41" ht="24" customHeight="1" thickBot="1" x14ac:dyDescent="0.25">
      <c r="B47" s="68"/>
      <c r="C47" s="16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16"/>
      <c r="P47" s="92"/>
      <c r="Q47" s="16"/>
      <c r="R47" s="7"/>
      <c r="S47" s="7"/>
      <c r="T47" s="7"/>
      <c r="U47" s="92"/>
      <c r="V47" s="2"/>
      <c r="AC47" s="9"/>
      <c r="AD47" s="9"/>
      <c r="AE47" s="1"/>
      <c r="AF47" s="1"/>
      <c r="AL47" s="9"/>
      <c r="AM47" s="9"/>
      <c r="AN47" s="1"/>
      <c r="AO47" s="1"/>
    </row>
    <row r="48" spans="2:41" ht="30" customHeight="1" thickBot="1" x14ac:dyDescent="0.25">
      <c r="B48" s="69" t="s">
        <v>8</v>
      </c>
      <c r="C48" s="89">
        <f>SUM(C16:C46)</f>
        <v>25334146072</v>
      </c>
      <c r="D48" s="89">
        <f>SUM(D16:D46)</f>
        <v>18600000000</v>
      </c>
      <c r="E48" s="89">
        <f>SUM(E16:E46)</f>
        <v>0</v>
      </c>
      <c r="F48" s="84">
        <f>SUM(F16:F46)</f>
        <v>136240474</v>
      </c>
      <c r="G48" s="102">
        <f>MIN(C48,$D$4*$D$3)</f>
        <v>136240474</v>
      </c>
      <c r="H48" s="103">
        <f>F48-G48</f>
        <v>0</v>
      </c>
      <c r="I48" s="96">
        <f>SUM(I16:I46)</f>
        <v>1746989965</v>
      </c>
      <c r="J48" s="101">
        <f>MAX(MIN(C48-G48,INT(P3*D3/365)-G48),0)</f>
        <v>1746989980</v>
      </c>
      <c r="K48" s="98">
        <f>I48-J48</f>
        <v>-15</v>
      </c>
      <c r="L48" s="96">
        <f>SUM(L16:L46)</f>
        <v>34674385267</v>
      </c>
      <c r="M48" s="97">
        <f>MAX(MIN(C48-G48-J48,M52-IF(AA4="○",INT(M52*25/100),0)-AA6))</f>
        <v>23450915618</v>
      </c>
      <c r="N48" s="98">
        <f>L48-M48</f>
        <v>11223469649</v>
      </c>
      <c r="O48" s="17"/>
      <c r="P48" s="93">
        <f>SUM(P16:P46)</f>
        <v>773633930</v>
      </c>
      <c r="Q48" s="16"/>
      <c r="R48" s="90">
        <f>SUM(R16:R46)</f>
        <v>574385267</v>
      </c>
      <c r="S48" s="89">
        <f>SUM(S16:S46)</f>
        <v>15500000000</v>
      </c>
      <c r="T48" s="89">
        <f>SUM(T16:T46)</f>
        <v>0</v>
      </c>
      <c r="U48" s="93">
        <f>SUM(U16:U46)</f>
        <v>0</v>
      </c>
      <c r="V48" s="2"/>
      <c r="AC48" s="9"/>
      <c r="AD48" s="9"/>
      <c r="AE48" s="1"/>
      <c r="AF48" s="1"/>
      <c r="AL48" s="9"/>
      <c r="AM48" s="9"/>
      <c r="AN48" s="1"/>
      <c r="AO48" s="1"/>
    </row>
    <row r="49" spans="3:41" ht="29.25" customHeight="1" x14ac:dyDescent="0.2">
      <c r="D49" s="3"/>
      <c r="E49" s="3"/>
      <c r="F49" s="3"/>
      <c r="G49" s="95"/>
      <c r="H49" s="3"/>
      <c r="I49" s="3"/>
      <c r="J49" s="3"/>
      <c r="K49" s="3"/>
      <c r="L49" s="3"/>
      <c r="M49" s="3"/>
      <c r="N49" s="3"/>
      <c r="O49" s="18"/>
      <c r="P49" s="3"/>
      <c r="Q49" s="18"/>
      <c r="R49" s="3"/>
      <c r="S49" s="3"/>
      <c r="T49" s="3"/>
      <c r="U49" s="3"/>
      <c r="V49" s="2"/>
      <c r="W49" s="2"/>
      <c r="AC49" s="9"/>
      <c r="AD49" s="9"/>
      <c r="AE49" s="1"/>
      <c r="AF49" s="1"/>
      <c r="AL49" s="9"/>
      <c r="AM49" s="9"/>
      <c r="AN49" s="1"/>
      <c r="AO49" s="1"/>
    </row>
    <row r="50" spans="3:41" ht="21.9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2"/>
    </row>
    <row r="51" spans="3:41" ht="21.9" customHeight="1" x14ac:dyDescent="0.2">
      <c r="C51" s="13"/>
      <c r="D51" s="3"/>
      <c r="E51" s="3"/>
      <c r="F51" s="3"/>
      <c r="G51" s="3"/>
      <c r="H51" s="3"/>
      <c r="I51" s="3"/>
      <c r="J51" s="3"/>
      <c r="K51" s="3"/>
      <c r="L51" s="3"/>
      <c r="M51" s="117" t="s">
        <v>82</v>
      </c>
      <c r="N51" s="3"/>
      <c r="O51" s="3"/>
      <c r="P51" s="3"/>
      <c r="Q51" s="3"/>
      <c r="R51" s="3"/>
      <c r="S51" s="3"/>
      <c r="T51" s="3"/>
      <c r="U51" s="3"/>
      <c r="AB51" s="1"/>
      <c r="AC51" s="8"/>
      <c r="AE51" s="1"/>
      <c r="AF51" s="1"/>
      <c r="AN51" s="1"/>
      <c r="AO51" s="1"/>
    </row>
    <row r="52" spans="3:41" ht="21.9" customHeight="1" x14ac:dyDescent="0.2">
      <c r="M52" s="118">
        <f>INT(INT(P3*D3/365)*D5/100)+IFERROR(INT(INT(T8*D3/T9)*D5/100),0)+D48+INT(MAX(D48-E48-P4*D3,0)*D6/100)+T4+T6*D3</f>
        <v>34674385288</v>
      </c>
      <c r="AB52" s="1"/>
      <c r="AC52" s="8"/>
      <c r="AE52" s="1"/>
      <c r="AF52" s="1"/>
      <c r="AN52" s="1"/>
      <c r="AO52" s="1"/>
    </row>
    <row r="53" spans="3:41" ht="21.9" customHeight="1" x14ac:dyDescent="0.2">
      <c r="AB53" s="1"/>
      <c r="AC53" s="8"/>
      <c r="AE53" s="1"/>
      <c r="AF53" s="1"/>
      <c r="AN53" s="1"/>
      <c r="AO53" s="1"/>
    </row>
    <row r="54" spans="3:41" ht="21.9" customHeight="1" x14ac:dyDescent="0.2">
      <c r="AB54" s="1"/>
      <c r="AC54" s="8"/>
      <c r="AE54" s="1"/>
      <c r="AF54" s="1"/>
      <c r="AN54" s="1"/>
      <c r="AO54" s="1"/>
    </row>
    <row r="55" spans="3:41" ht="21.9" customHeight="1" x14ac:dyDescent="0.2">
      <c r="AB55" s="1"/>
      <c r="AC55" s="8"/>
      <c r="AE55" s="1"/>
      <c r="AF55" s="1"/>
      <c r="AN55" s="1"/>
      <c r="AO55" s="1"/>
    </row>
    <row r="56" spans="3:41" ht="21.9" customHeight="1" x14ac:dyDescent="0.2">
      <c r="AB56" s="1"/>
      <c r="AC56" s="8"/>
      <c r="AE56" s="1"/>
      <c r="AF56" s="1"/>
      <c r="AN56" s="1"/>
      <c r="AO56" s="1"/>
    </row>
    <row r="57" spans="3:41" ht="21.9" customHeight="1" x14ac:dyDescent="0.2">
      <c r="AB57" s="1"/>
      <c r="AC57" s="8"/>
      <c r="AE57" s="1"/>
      <c r="AF57" s="1"/>
      <c r="AN57" s="1"/>
      <c r="AO57" s="1"/>
    </row>
    <row r="58" spans="3:41" ht="21.9" customHeight="1" x14ac:dyDescent="0.2">
      <c r="AB58" s="1"/>
      <c r="AC58" s="8"/>
      <c r="AE58" s="1"/>
      <c r="AF58" s="1"/>
      <c r="AN58" s="1"/>
      <c r="AO58" s="1"/>
    </row>
    <row r="59" spans="3:41" ht="21.9" customHeight="1" x14ac:dyDescent="0.2">
      <c r="AB59" s="1"/>
      <c r="AC59" s="8"/>
      <c r="AE59" s="1"/>
      <c r="AF59" s="1"/>
      <c r="AN59" s="1"/>
      <c r="AO59" s="1"/>
    </row>
  </sheetData>
  <sheetProtection algorithmName="SHA-512" hashValue="2rcoam1+cFi+WoBDb3e7BR/XgXkNr8jzSQSzxTFjPvp/iJEFysmU220G+YwnQ8tzgc9TT/CKS/qJrPPToIq1EQ==" saltValue="RKdXxcaZDk/KLlQT9SnogQ==" spinCount="100000" sheet="1" objects="1" scenarios="1"/>
  <mergeCells count="90">
    <mergeCell ref="X38:Z39"/>
    <mergeCell ref="AA38:AA39"/>
    <mergeCell ref="X32:Y34"/>
    <mergeCell ref="Z32:Z33"/>
    <mergeCell ref="AA32:AA33"/>
    <mergeCell ref="X35:Y37"/>
    <mergeCell ref="Z35:Z36"/>
    <mergeCell ref="AA35:AA36"/>
    <mergeCell ref="Y22:Z23"/>
    <mergeCell ref="AA22:AA23"/>
    <mergeCell ref="X27:AA28"/>
    <mergeCell ref="X29:Y31"/>
    <mergeCell ref="Z29:Z30"/>
    <mergeCell ref="AA29:AA30"/>
    <mergeCell ref="Y20:Z21"/>
    <mergeCell ref="AA20:AA21"/>
    <mergeCell ref="N14:N15"/>
    <mergeCell ref="R14:R15"/>
    <mergeCell ref="S14:S15"/>
    <mergeCell ref="T14:T15"/>
    <mergeCell ref="U14:U15"/>
    <mergeCell ref="X14:Z15"/>
    <mergeCell ref="AA14:AA15"/>
    <mergeCell ref="Y16:Z17"/>
    <mergeCell ref="AA16:AA17"/>
    <mergeCell ref="Y18:Z19"/>
    <mergeCell ref="AA18:AA19"/>
    <mergeCell ref="M14:M15"/>
    <mergeCell ref="A1:AB1"/>
    <mergeCell ref="X12:AA13"/>
    <mergeCell ref="B13:B15"/>
    <mergeCell ref="C13:C15"/>
    <mergeCell ref="D13:D15"/>
    <mergeCell ref="F13:F15"/>
    <mergeCell ref="I13:I15"/>
    <mergeCell ref="L13:L15"/>
    <mergeCell ref="P13:P15"/>
    <mergeCell ref="R13:U13"/>
    <mergeCell ref="E14:E15"/>
    <mergeCell ref="G14:G15"/>
    <mergeCell ref="H14:H15"/>
    <mergeCell ref="J14:J15"/>
    <mergeCell ref="K14:K15"/>
    <mergeCell ref="X11:AA11"/>
    <mergeCell ref="AG11:AJ11"/>
    <mergeCell ref="AG12:AJ13"/>
    <mergeCell ref="AG14:AI15"/>
    <mergeCell ref="AJ14:AJ15"/>
    <mergeCell ref="AM16:AM17"/>
    <mergeCell ref="AC18:AC19"/>
    <mergeCell ref="AD18:AD19"/>
    <mergeCell ref="AH18:AI19"/>
    <mergeCell ref="AJ18:AJ19"/>
    <mergeCell ref="AL18:AL19"/>
    <mergeCell ref="AM18:AM19"/>
    <mergeCell ref="AC16:AC17"/>
    <mergeCell ref="AD16:AD17"/>
    <mergeCell ref="AH16:AI17"/>
    <mergeCell ref="AJ16:AJ17"/>
    <mergeCell ref="AL16:AL17"/>
    <mergeCell ref="AM20:AM21"/>
    <mergeCell ref="AC22:AC23"/>
    <mergeCell ref="AD22:AD23"/>
    <mergeCell ref="AH22:AI23"/>
    <mergeCell ref="AJ22:AJ23"/>
    <mergeCell ref="AL22:AL23"/>
    <mergeCell ref="AM22:AM23"/>
    <mergeCell ref="AC20:AC21"/>
    <mergeCell ref="AD20:AD21"/>
    <mergeCell ref="AH20:AI21"/>
    <mergeCell ref="AJ20:AJ21"/>
    <mergeCell ref="AL20:AL21"/>
    <mergeCell ref="AC24:AC25"/>
    <mergeCell ref="AD24:AD25"/>
    <mergeCell ref="AL24:AL25"/>
    <mergeCell ref="AM24:AM25"/>
    <mergeCell ref="AO24:AO25"/>
    <mergeCell ref="AP24:AP25"/>
    <mergeCell ref="AG27:AJ28"/>
    <mergeCell ref="AG29:AH31"/>
    <mergeCell ref="AI29:AI30"/>
    <mergeCell ref="AJ29:AJ30"/>
    <mergeCell ref="AG38:AI39"/>
    <mergeCell ref="AJ38:AJ39"/>
    <mergeCell ref="AG32:AH34"/>
    <mergeCell ref="AI32:AI33"/>
    <mergeCell ref="AJ32:AJ33"/>
    <mergeCell ref="AG35:AH37"/>
    <mergeCell ref="AI35:AI36"/>
    <mergeCell ref="AJ35:AJ36"/>
  </mergeCells>
  <phoneticPr fontId="2"/>
  <dataValidations count="5">
    <dataValidation type="custom" allowBlank="1" showInputMessage="1" showErrorMessage="1" sqref="D5:D6">
      <formula1>AND(0&lt;=D5,D5&lt;=100,ROUNDDOWN(D5,1)=D5)</formula1>
    </dataValidation>
    <dataValidation type="whole" allowBlank="1" showInputMessage="1" showErrorMessage="1" sqref="T9">
      <formula1>1</formula1>
      <formula2>366</formula2>
    </dataValidation>
    <dataValidation type="whole" allowBlank="1" showInputMessage="1" showErrorMessage="1" sqref="T10 D3">
      <formula1>1</formula1>
      <formula2>31</formula2>
    </dataValidation>
    <dataValidation type="whole" operator="greaterThanOrEqual" allowBlank="1" showInputMessage="1" showErrorMessage="1" sqref="C16:E46 P3:P4 AA6 T4 T6 T8 D4">
      <formula1>0</formula1>
    </dataValidation>
    <dataValidation type="list" allowBlank="1" showInputMessage="1" showErrorMessage="1" sqref="AA4">
      <formula1>"○"</formula1>
    </dataValidation>
  </dataValidations>
  <pageMargins left="0.19685039370078741" right="0.23622047244094491" top="0.15748031496062992" bottom="0.19685039370078741" header="0.31496062992125984" footer="0.19685039370078741"/>
  <pageSetup paperSize="8" scale="41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留意事項</vt:lpstr>
      <vt:lpstr>入力ポイント（よくあるミス等）</vt:lpstr>
      <vt:lpstr>入力シート</vt:lpstr>
      <vt:lpstr>入力例</vt:lpstr>
      <vt:lpstr>入力シート!Print_Area</vt:lpstr>
      <vt:lpstr>'入力ポイント（よくあるミス等）'!Print_Area</vt:lpstr>
      <vt:lpstr>入力例!Print_Area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2019-01-07T05:03:49Z</dcterms:created>
  <dcterms:modified xsi:type="dcterms:W3CDTF">2024-03-19T03:58:24Z</dcterms:modified>
</cp:coreProperties>
</file>