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860" yWindow="0" windowWidth="20490" windowHeight="7530"/>
  </bookViews>
  <sheets>
    <sheet name="留意事項" sheetId="9" r:id="rId1"/>
    <sheet name="入力ポイント（よくあるミス等）" sheetId="30" r:id="rId2"/>
    <sheet name="入力シート" sheetId="21" r:id="rId3"/>
    <sheet name="入力例１（積み期間の終了後の確認）" sheetId="32" r:id="rId4"/>
    <sheet name="入力例２（積み期間の途中における確認）" sheetId="34" r:id="rId5"/>
  </sheets>
  <definedNames>
    <definedName name="_xlnm.Print_Area" localSheetId="2">入力シート!$A$1:$AC$49</definedName>
    <definedName name="_xlnm.Print_Area" localSheetId="1">'入力ポイント（よくあるミス等）'!$A$1:$AC$49</definedName>
    <definedName name="_xlnm.Print_Area" localSheetId="3">'入力例１（積み期間の終了後の確認）'!$A$1:$AC$49</definedName>
    <definedName name="_xlnm.Print_Area" localSheetId="4">'入力例２（積み期間の途中における確認）'!$A$1:$AC$49</definedName>
  </definedNames>
  <calcPr calcId="162913"/>
</workbook>
</file>

<file path=xl/calcChain.xml><?xml version="1.0" encoding="utf-8"?>
<calcChain xmlns="http://schemas.openxmlformats.org/spreadsheetml/2006/main">
  <c r="L16" i="21" l="1"/>
  <c r="S30" i="21" l="1"/>
  <c r="S31" i="21"/>
  <c r="S29" i="21"/>
  <c r="E48" i="34" l="1"/>
  <c r="D48" i="34"/>
  <c r="C48" i="34"/>
  <c r="G48" i="34" s="1"/>
  <c r="AA16" i="34" s="1"/>
  <c r="U46" i="34"/>
  <c r="T46" i="34"/>
  <c r="S46" i="34"/>
  <c r="L46" i="34" s="1"/>
  <c r="R46" i="34"/>
  <c r="I46" i="34"/>
  <c r="P46" i="34" s="1"/>
  <c r="G46" i="34"/>
  <c r="J46" i="34" s="1"/>
  <c r="F46" i="34"/>
  <c r="H46" i="34" s="1"/>
  <c r="U45" i="34"/>
  <c r="T45" i="34"/>
  <c r="L45" i="34" s="1"/>
  <c r="S45" i="34"/>
  <c r="R45" i="34"/>
  <c r="I45" i="34"/>
  <c r="G45" i="34"/>
  <c r="J45" i="34" s="1"/>
  <c r="F45" i="34"/>
  <c r="U44" i="34"/>
  <c r="T44" i="34"/>
  <c r="S44" i="34"/>
  <c r="L44" i="34" s="1"/>
  <c r="R44" i="34"/>
  <c r="I44" i="34"/>
  <c r="G44" i="34"/>
  <c r="J44" i="34" s="1"/>
  <c r="F44" i="34"/>
  <c r="P44" i="34" s="1"/>
  <c r="U43" i="34"/>
  <c r="T43" i="34"/>
  <c r="L43" i="34" s="1"/>
  <c r="S43" i="34"/>
  <c r="R43" i="34"/>
  <c r="I43" i="34"/>
  <c r="G43" i="34"/>
  <c r="J43" i="34" s="1"/>
  <c r="K43" i="34" s="1"/>
  <c r="F43" i="34"/>
  <c r="U42" i="34"/>
  <c r="T42" i="34"/>
  <c r="S42" i="34"/>
  <c r="L42" i="34" s="1"/>
  <c r="R42" i="34"/>
  <c r="I42" i="34"/>
  <c r="G42" i="34"/>
  <c r="J42" i="34" s="1"/>
  <c r="F42" i="34"/>
  <c r="H42" i="34" s="1"/>
  <c r="U41" i="34"/>
  <c r="T41" i="34"/>
  <c r="L41" i="34" s="1"/>
  <c r="S41" i="34"/>
  <c r="R41" i="34"/>
  <c r="I41" i="34"/>
  <c r="G41" i="34"/>
  <c r="J41" i="34" s="1"/>
  <c r="F41" i="34"/>
  <c r="U40" i="34"/>
  <c r="T40" i="34"/>
  <c r="S40" i="34"/>
  <c r="L40" i="34" s="1"/>
  <c r="R40" i="34"/>
  <c r="I40" i="34"/>
  <c r="G40" i="34"/>
  <c r="J40" i="34" s="1"/>
  <c r="F40" i="34"/>
  <c r="P40" i="34" s="1"/>
  <c r="U39" i="34"/>
  <c r="T39" i="34"/>
  <c r="L39" i="34" s="1"/>
  <c r="S39" i="34"/>
  <c r="R39" i="34"/>
  <c r="I39" i="34"/>
  <c r="G39" i="34"/>
  <c r="J39" i="34" s="1"/>
  <c r="K39" i="34" s="1"/>
  <c r="F39" i="34"/>
  <c r="U38" i="34"/>
  <c r="T38" i="34"/>
  <c r="L38" i="34" s="1"/>
  <c r="S38" i="34"/>
  <c r="R38" i="34"/>
  <c r="J38" i="34"/>
  <c r="I38" i="34"/>
  <c r="G38" i="34"/>
  <c r="F38" i="34"/>
  <c r="U37" i="34"/>
  <c r="T37" i="34"/>
  <c r="L37" i="34" s="1"/>
  <c r="S37" i="34"/>
  <c r="R37" i="34"/>
  <c r="J37" i="34"/>
  <c r="M37" i="34" s="1"/>
  <c r="I37" i="34"/>
  <c r="G37" i="34"/>
  <c r="F37" i="34"/>
  <c r="U36" i="34"/>
  <c r="T36" i="34"/>
  <c r="S36" i="34"/>
  <c r="R36" i="34"/>
  <c r="I36" i="34"/>
  <c r="K36" i="34" s="1"/>
  <c r="G36" i="34"/>
  <c r="J36" i="34" s="1"/>
  <c r="F36" i="34"/>
  <c r="U35" i="34"/>
  <c r="T35" i="34"/>
  <c r="S35" i="34"/>
  <c r="R35" i="34"/>
  <c r="J35" i="34"/>
  <c r="I35" i="34"/>
  <c r="G35" i="34"/>
  <c r="F35" i="34"/>
  <c r="H35" i="34" s="1"/>
  <c r="Z34" i="34"/>
  <c r="U34" i="34"/>
  <c r="T34" i="34"/>
  <c r="S34" i="34"/>
  <c r="R34" i="34"/>
  <c r="I34" i="34"/>
  <c r="G34" i="34"/>
  <c r="J34" i="34" s="1"/>
  <c r="F34" i="34"/>
  <c r="H34" i="34" s="1"/>
  <c r="U33" i="34"/>
  <c r="T33" i="34"/>
  <c r="S33" i="34"/>
  <c r="R33" i="34"/>
  <c r="L33" i="34" s="1"/>
  <c r="I33" i="34"/>
  <c r="G33" i="34"/>
  <c r="H33" i="34" s="1"/>
  <c r="F33" i="34"/>
  <c r="U32" i="34"/>
  <c r="T32" i="34"/>
  <c r="S32" i="34"/>
  <c r="R32" i="34"/>
  <c r="I32" i="34"/>
  <c r="G32" i="34"/>
  <c r="J32" i="34" s="1"/>
  <c r="F32" i="34"/>
  <c r="Z31" i="34"/>
  <c r="U31" i="34"/>
  <c r="T31" i="34"/>
  <c r="S31" i="34"/>
  <c r="R31" i="34"/>
  <c r="I31" i="34"/>
  <c r="G31" i="34"/>
  <c r="J31" i="34" s="1"/>
  <c r="F31" i="34"/>
  <c r="U30" i="34"/>
  <c r="T30" i="34"/>
  <c r="S30" i="34"/>
  <c r="R30" i="34"/>
  <c r="I30" i="34"/>
  <c r="G30" i="34"/>
  <c r="J30" i="34" s="1"/>
  <c r="F30" i="34"/>
  <c r="U29" i="34"/>
  <c r="T29" i="34"/>
  <c r="S29" i="34"/>
  <c r="R29" i="34"/>
  <c r="I29" i="34"/>
  <c r="G29" i="34"/>
  <c r="J29" i="34" s="1"/>
  <c r="F29" i="34"/>
  <c r="U28" i="34"/>
  <c r="T28" i="34"/>
  <c r="S28" i="34"/>
  <c r="R28" i="34"/>
  <c r="I28" i="34"/>
  <c r="G28" i="34"/>
  <c r="J28" i="34" s="1"/>
  <c r="M28" i="34" s="1"/>
  <c r="F28" i="34"/>
  <c r="H28" i="34" s="1"/>
  <c r="U27" i="34"/>
  <c r="T27" i="34"/>
  <c r="S27" i="34"/>
  <c r="R27" i="34"/>
  <c r="I27" i="34"/>
  <c r="G27" i="34"/>
  <c r="J27" i="34" s="1"/>
  <c r="F27" i="34"/>
  <c r="U26" i="34"/>
  <c r="T26" i="34"/>
  <c r="S26" i="34"/>
  <c r="R26" i="34"/>
  <c r="I26" i="34"/>
  <c r="G26" i="34"/>
  <c r="J26" i="34" s="1"/>
  <c r="F26" i="34"/>
  <c r="H26" i="34" s="1"/>
  <c r="U25" i="34"/>
  <c r="T25" i="34"/>
  <c r="S25" i="34"/>
  <c r="R25" i="34"/>
  <c r="I25" i="34"/>
  <c r="G25" i="34"/>
  <c r="F25" i="34"/>
  <c r="H25" i="34" s="1"/>
  <c r="U24" i="34"/>
  <c r="T24" i="34"/>
  <c r="S24" i="34"/>
  <c r="R24" i="34"/>
  <c r="L24" i="34" s="1"/>
  <c r="I24" i="34"/>
  <c r="G24" i="34"/>
  <c r="J24" i="34" s="1"/>
  <c r="M24" i="34" s="1"/>
  <c r="F24" i="34"/>
  <c r="U23" i="34"/>
  <c r="T23" i="34"/>
  <c r="S23" i="34"/>
  <c r="R23" i="34"/>
  <c r="I23" i="34"/>
  <c r="G23" i="34"/>
  <c r="F23" i="34"/>
  <c r="U22" i="34"/>
  <c r="T22" i="34"/>
  <c r="S22" i="34"/>
  <c r="R22" i="34"/>
  <c r="I22" i="34"/>
  <c r="G22" i="34"/>
  <c r="J22" i="34" s="1"/>
  <c r="F22" i="34"/>
  <c r="H22" i="34" s="1"/>
  <c r="U21" i="34"/>
  <c r="T21" i="34"/>
  <c r="S21" i="34"/>
  <c r="R21" i="34"/>
  <c r="I21" i="34"/>
  <c r="G21" i="34"/>
  <c r="J21" i="34" s="1"/>
  <c r="F21" i="34"/>
  <c r="U20" i="34"/>
  <c r="T20" i="34"/>
  <c r="S20" i="34"/>
  <c r="R20" i="34"/>
  <c r="J20" i="34"/>
  <c r="I20" i="34"/>
  <c r="G20" i="34"/>
  <c r="F20" i="34"/>
  <c r="H20" i="34" s="1"/>
  <c r="U19" i="34"/>
  <c r="T19" i="34"/>
  <c r="S19" i="34"/>
  <c r="R19" i="34"/>
  <c r="J19" i="34"/>
  <c r="I19" i="34"/>
  <c r="G19" i="34"/>
  <c r="F19" i="34"/>
  <c r="U18" i="34"/>
  <c r="T18" i="34"/>
  <c r="S18" i="34"/>
  <c r="R18" i="34"/>
  <c r="I18" i="34"/>
  <c r="G18" i="34"/>
  <c r="J18" i="34" s="1"/>
  <c r="K18" i="34" s="1"/>
  <c r="F18" i="34"/>
  <c r="U17" i="34"/>
  <c r="T17" i="34"/>
  <c r="S17" i="34"/>
  <c r="R17" i="34"/>
  <c r="I17" i="34"/>
  <c r="G17" i="34"/>
  <c r="J17" i="34" s="1"/>
  <c r="F17" i="34"/>
  <c r="H17" i="34" s="1"/>
  <c r="U16" i="34"/>
  <c r="T16" i="34"/>
  <c r="T48" i="34" s="1"/>
  <c r="S16" i="34"/>
  <c r="R16" i="34"/>
  <c r="I16" i="34"/>
  <c r="G16" i="34"/>
  <c r="J16" i="34" s="1"/>
  <c r="F16" i="34"/>
  <c r="H16" i="34" s="1"/>
  <c r="AA14" i="34"/>
  <c r="Z37" i="34" l="1"/>
  <c r="M19" i="34"/>
  <c r="K20" i="34"/>
  <c r="L22" i="34"/>
  <c r="P22" i="34" s="1"/>
  <c r="K27" i="34"/>
  <c r="L31" i="34"/>
  <c r="M32" i="34"/>
  <c r="M26" i="34"/>
  <c r="K21" i="34"/>
  <c r="L29" i="34"/>
  <c r="M34" i="34"/>
  <c r="M46" i="34"/>
  <c r="N46" i="34" s="1"/>
  <c r="K16" i="34"/>
  <c r="K17" i="34"/>
  <c r="H30" i="34"/>
  <c r="K40" i="34"/>
  <c r="H29" i="34"/>
  <c r="H31" i="34"/>
  <c r="AA31" i="34"/>
  <c r="H41" i="34"/>
  <c r="H45" i="34"/>
  <c r="L18" i="34"/>
  <c r="L19" i="34"/>
  <c r="L21" i="34"/>
  <c r="P21" i="34" s="1"/>
  <c r="M22" i="34"/>
  <c r="L23" i="34"/>
  <c r="H24" i="34"/>
  <c r="L26" i="34"/>
  <c r="P26" i="34" s="1"/>
  <c r="H27" i="34"/>
  <c r="K29" i="34"/>
  <c r="K31" i="34"/>
  <c r="K32" i="34"/>
  <c r="L32" i="34"/>
  <c r="N32" i="34" s="1"/>
  <c r="L36" i="34"/>
  <c r="P19" i="34"/>
  <c r="M16" i="34"/>
  <c r="H19" i="34"/>
  <c r="M20" i="34"/>
  <c r="J23" i="34"/>
  <c r="K23" i="34" s="1"/>
  <c r="K24" i="34"/>
  <c r="L25" i="34"/>
  <c r="P25" i="34" s="1"/>
  <c r="M27" i="34"/>
  <c r="L28" i="34"/>
  <c r="N28" i="34" s="1"/>
  <c r="L30" i="34"/>
  <c r="P30" i="34" s="1"/>
  <c r="K34" i="34"/>
  <c r="L34" i="34"/>
  <c r="N34" i="34" s="1"/>
  <c r="M35" i="34"/>
  <c r="N24" i="34"/>
  <c r="K28" i="34"/>
  <c r="R48" i="34"/>
  <c r="L17" i="34"/>
  <c r="M17" i="34"/>
  <c r="K19" i="34"/>
  <c r="L20" i="34"/>
  <c r="H23" i="34"/>
  <c r="J25" i="34"/>
  <c r="K25" i="34" s="1"/>
  <c r="K26" i="34"/>
  <c r="L27" i="34"/>
  <c r="N27" i="34" s="1"/>
  <c r="M29" i="34"/>
  <c r="N29" i="34" s="1"/>
  <c r="M31" i="34"/>
  <c r="N31" i="34" s="1"/>
  <c r="H32" i="34"/>
  <c r="J33" i="34"/>
  <c r="K33" i="34" s="1"/>
  <c r="K35" i="34"/>
  <c r="L35" i="34"/>
  <c r="H36" i="34"/>
  <c r="M42" i="34"/>
  <c r="H44" i="34"/>
  <c r="U48" i="34"/>
  <c r="H37" i="34"/>
  <c r="H38" i="34"/>
  <c r="H39" i="34"/>
  <c r="M40" i="34"/>
  <c r="N40" i="34" s="1"/>
  <c r="K41" i="34"/>
  <c r="M38" i="34"/>
  <c r="N38" i="34" s="1"/>
  <c r="H40" i="34"/>
  <c r="S48" i="34"/>
  <c r="K37" i="34"/>
  <c r="K38" i="34"/>
  <c r="H43" i="34"/>
  <c r="M44" i="34"/>
  <c r="N44" i="34" s="1"/>
  <c r="K45" i="34"/>
  <c r="N42" i="34"/>
  <c r="P43" i="34"/>
  <c r="P18" i="34"/>
  <c r="N19" i="34"/>
  <c r="P28" i="34"/>
  <c r="K30" i="34"/>
  <c r="P41" i="34"/>
  <c r="K44" i="34"/>
  <c r="P39" i="34"/>
  <c r="K42" i="34"/>
  <c r="P24" i="34"/>
  <c r="P33" i="34"/>
  <c r="N37" i="34"/>
  <c r="P42" i="34"/>
  <c r="P45" i="34"/>
  <c r="H18" i="34"/>
  <c r="P20" i="34"/>
  <c r="H21" i="34"/>
  <c r="P23" i="34"/>
  <c r="P29" i="34"/>
  <c r="M30" i="34"/>
  <c r="P31" i="34"/>
  <c r="M36" i="34"/>
  <c r="P37" i="34"/>
  <c r="P38" i="34"/>
  <c r="I48" i="34"/>
  <c r="P17" i="34"/>
  <c r="M18" i="34"/>
  <c r="M21" i="34"/>
  <c r="K22" i="34"/>
  <c r="M39" i="34"/>
  <c r="N39" i="34" s="1"/>
  <c r="M41" i="34"/>
  <c r="N41" i="34" s="1"/>
  <c r="M43" i="34"/>
  <c r="N43" i="34" s="1"/>
  <c r="M45" i="34"/>
  <c r="N45" i="34" s="1"/>
  <c r="K46" i="34"/>
  <c r="F48" i="34"/>
  <c r="H48" i="34" s="1"/>
  <c r="J48" i="34"/>
  <c r="AA18" i="34" s="1"/>
  <c r="L16" i="34"/>
  <c r="E48" i="32"/>
  <c r="D48" i="32"/>
  <c r="C48" i="32"/>
  <c r="G48" i="32" s="1"/>
  <c r="U46" i="32"/>
  <c r="M46" i="32" s="1"/>
  <c r="T46" i="32"/>
  <c r="S46" i="32"/>
  <c r="R46" i="32"/>
  <c r="J46" i="32"/>
  <c r="I46" i="32"/>
  <c r="K46" i="32" s="1"/>
  <c r="G46" i="32"/>
  <c r="F46" i="32"/>
  <c r="H46" i="32" s="1"/>
  <c r="U45" i="32"/>
  <c r="T45" i="32"/>
  <c r="S45" i="32"/>
  <c r="R45" i="32"/>
  <c r="I45" i="32"/>
  <c r="G45" i="32"/>
  <c r="F45" i="32"/>
  <c r="U44" i="32"/>
  <c r="T44" i="32"/>
  <c r="S44" i="32"/>
  <c r="R44" i="32"/>
  <c r="J44" i="32"/>
  <c r="I44" i="32"/>
  <c r="K44" i="32" s="1"/>
  <c r="G44" i="32"/>
  <c r="F44" i="32"/>
  <c r="H44" i="32" s="1"/>
  <c r="U43" i="32"/>
  <c r="T43" i="32"/>
  <c r="S43" i="32"/>
  <c r="R43" i="32"/>
  <c r="I43" i="32"/>
  <c r="G43" i="32"/>
  <c r="F43" i="32"/>
  <c r="U42" i="32"/>
  <c r="T42" i="32"/>
  <c r="S42" i="32"/>
  <c r="R42" i="32"/>
  <c r="J42" i="32"/>
  <c r="I42" i="32"/>
  <c r="K42" i="32" s="1"/>
  <c r="G42" i="32"/>
  <c r="F42" i="32"/>
  <c r="H42" i="32" s="1"/>
  <c r="U41" i="32"/>
  <c r="T41" i="32"/>
  <c r="S41" i="32"/>
  <c r="R41" i="32"/>
  <c r="I41" i="32"/>
  <c r="G41" i="32"/>
  <c r="F41" i="32"/>
  <c r="U40" i="32"/>
  <c r="T40" i="32"/>
  <c r="S40" i="32"/>
  <c r="R40" i="32"/>
  <c r="J40" i="32"/>
  <c r="I40" i="32"/>
  <c r="K40" i="32" s="1"/>
  <c r="G40" i="32"/>
  <c r="F40" i="32"/>
  <c r="H40" i="32" s="1"/>
  <c r="U39" i="32"/>
  <c r="T39" i="32"/>
  <c r="S39" i="32"/>
  <c r="R39" i="32"/>
  <c r="I39" i="32"/>
  <c r="G39" i="32"/>
  <c r="F39" i="32"/>
  <c r="U38" i="32"/>
  <c r="T38" i="32"/>
  <c r="S38" i="32"/>
  <c r="R38" i="32"/>
  <c r="J38" i="32"/>
  <c r="K38" i="32" s="1"/>
  <c r="I38" i="32"/>
  <c r="G38" i="32"/>
  <c r="F38" i="32"/>
  <c r="U37" i="32"/>
  <c r="T37" i="32"/>
  <c r="S37" i="32"/>
  <c r="R37" i="32"/>
  <c r="J37" i="32"/>
  <c r="K37" i="32" s="1"/>
  <c r="I37" i="32"/>
  <c r="G37" i="32"/>
  <c r="F37" i="32"/>
  <c r="U36" i="32"/>
  <c r="T36" i="32"/>
  <c r="S36" i="32"/>
  <c r="R36" i="32"/>
  <c r="J36" i="32"/>
  <c r="I36" i="32"/>
  <c r="K36" i="32" s="1"/>
  <c r="H36" i="32"/>
  <c r="G36" i="32"/>
  <c r="F36" i="32"/>
  <c r="U35" i="32"/>
  <c r="T35" i="32"/>
  <c r="S35" i="32"/>
  <c r="R35" i="32"/>
  <c r="J35" i="32"/>
  <c r="K35" i="32" s="1"/>
  <c r="I35" i="32"/>
  <c r="G35" i="32"/>
  <c r="F35" i="32"/>
  <c r="Z34" i="32"/>
  <c r="U34" i="32"/>
  <c r="T34" i="32"/>
  <c r="S34" i="32"/>
  <c r="R34" i="32"/>
  <c r="J34" i="32"/>
  <c r="K34" i="32" s="1"/>
  <c r="I34" i="32"/>
  <c r="G34" i="32"/>
  <c r="F34" i="32"/>
  <c r="U33" i="32"/>
  <c r="T33" i="32"/>
  <c r="S33" i="32"/>
  <c r="R33" i="32"/>
  <c r="J33" i="32"/>
  <c r="I33" i="32"/>
  <c r="K33" i="32" s="1"/>
  <c r="H33" i="32"/>
  <c r="G33" i="32"/>
  <c r="F33" i="32"/>
  <c r="U32" i="32"/>
  <c r="T32" i="32"/>
  <c r="S32" i="32"/>
  <c r="R32" i="32"/>
  <c r="J32" i="32"/>
  <c r="K32" i="32" s="1"/>
  <c r="I32" i="32"/>
  <c r="G32" i="32"/>
  <c r="F32" i="32"/>
  <c r="Z31" i="32"/>
  <c r="U31" i="32"/>
  <c r="L31" i="32" s="1"/>
  <c r="T31" i="32"/>
  <c r="S31" i="32"/>
  <c r="R31" i="32"/>
  <c r="I31" i="32"/>
  <c r="G31" i="32"/>
  <c r="J31" i="32" s="1"/>
  <c r="K31" i="32" s="1"/>
  <c r="F31" i="32"/>
  <c r="U30" i="32"/>
  <c r="M30" i="32" s="1"/>
  <c r="T30" i="32"/>
  <c r="L30" i="32" s="1"/>
  <c r="S30" i="32"/>
  <c r="R30" i="32"/>
  <c r="J30" i="32"/>
  <c r="I30" i="32"/>
  <c r="K30" i="32" s="1"/>
  <c r="G30" i="32"/>
  <c r="F30" i="32"/>
  <c r="H30" i="32" s="1"/>
  <c r="U29" i="32"/>
  <c r="T29" i="32"/>
  <c r="S29" i="32"/>
  <c r="R29" i="32"/>
  <c r="J29" i="32"/>
  <c r="K29" i="32" s="1"/>
  <c r="I29" i="32"/>
  <c r="G29" i="32"/>
  <c r="F29" i="32"/>
  <c r="U28" i="32"/>
  <c r="L28" i="32" s="1"/>
  <c r="T28" i="32"/>
  <c r="S28" i="32"/>
  <c r="R28" i="32"/>
  <c r="J28" i="32"/>
  <c r="I28" i="32"/>
  <c r="K28" i="32" s="1"/>
  <c r="H28" i="32"/>
  <c r="G28" i="32"/>
  <c r="F28" i="32"/>
  <c r="U27" i="32"/>
  <c r="T27" i="32"/>
  <c r="S27" i="32"/>
  <c r="R27" i="32"/>
  <c r="J27" i="32"/>
  <c r="K27" i="32" s="1"/>
  <c r="I27" i="32"/>
  <c r="G27" i="32"/>
  <c r="F27" i="32"/>
  <c r="U26" i="32"/>
  <c r="T26" i="32"/>
  <c r="S26" i="32"/>
  <c r="R26" i="32"/>
  <c r="J26" i="32"/>
  <c r="I26" i="32"/>
  <c r="K26" i="32" s="1"/>
  <c r="H26" i="32"/>
  <c r="G26" i="32"/>
  <c r="F26" i="32"/>
  <c r="U25" i="32"/>
  <c r="T25" i="32"/>
  <c r="S25" i="32"/>
  <c r="R25" i="32"/>
  <c r="J25" i="32"/>
  <c r="K25" i="32" s="1"/>
  <c r="I25" i="32"/>
  <c r="G25" i="32"/>
  <c r="F25" i="32"/>
  <c r="U24" i="32"/>
  <c r="T24" i="32"/>
  <c r="S24" i="32"/>
  <c r="R24" i="32"/>
  <c r="J24" i="32"/>
  <c r="I24" i="32"/>
  <c r="K24" i="32" s="1"/>
  <c r="H24" i="32"/>
  <c r="G24" i="32"/>
  <c r="F24" i="32"/>
  <c r="U23" i="32"/>
  <c r="T23" i="32"/>
  <c r="S23" i="32"/>
  <c r="R23" i="32"/>
  <c r="J23" i="32"/>
  <c r="K23" i="32" s="1"/>
  <c r="I23" i="32"/>
  <c r="G23" i="32"/>
  <c r="F23" i="32"/>
  <c r="U22" i="32"/>
  <c r="M22" i="32" s="1"/>
  <c r="T22" i="32"/>
  <c r="S22" i="32"/>
  <c r="R22" i="32"/>
  <c r="J22" i="32"/>
  <c r="I22" i="32"/>
  <c r="G22" i="32"/>
  <c r="F22" i="32"/>
  <c r="U21" i="32"/>
  <c r="T21" i="32"/>
  <c r="S21" i="32"/>
  <c r="R21" i="32"/>
  <c r="I21" i="32"/>
  <c r="H21" i="32"/>
  <c r="G21" i="32"/>
  <c r="F21" i="32"/>
  <c r="U20" i="32"/>
  <c r="T20" i="32"/>
  <c r="S20" i="32"/>
  <c r="R20" i="32"/>
  <c r="J20" i="32"/>
  <c r="K20" i="32" s="1"/>
  <c r="I20" i="32"/>
  <c r="G20" i="32"/>
  <c r="F20" i="32"/>
  <c r="U19" i="32"/>
  <c r="L19" i="32" s="1"/>
  <c r="T19" i="32"/>
  <c r="S19" i="32"/>
  <c r="R19" i="32"/>
  <c r="J19" i="32"/>
  <c r="I19" i="32"/>
  <c r="K19" i="32" s="1"/>
  <c r="H19" i="32"/>
  <c r="G19" i="32"/>
  <c r="F19" i="32"/>
  <c r="U18" i="32"/>
  <c r="T18" i="32"/>
  <c r="S18" i="32"/>
  <c r="L18" i="32" s="1"/>
  <c r="R18" i="32"/>
  <c r="I18" i="32"/>
  <c r="G18" i="32"/>
  <c r="F18" i="32"/>
  <c r="U17" i="32"/>
  <c r="T17" i="32"/>
  <c r="S17" i="32"/>
  <c r="R17" i="32"/>
  <c r="J17" i="32"/>
  <c r="I17" i="32"/>
  <c r="G17" i="32"/>
  <c r="F17" i="32"/>
  <c r="AA16" i="32"/>
  <c r="U16" i="32"/>
  <c r="T16" i="32"/>
  <c r="S16" i="32"/>
  <c r="L16" i="32" s="1"/>
  <c r="R16" i="32"/>
  <c r="R48" i="32" s="1"/>
  <c r="J16" i="32"/>
  <c r="I16" i="32"/>
  <c r="H16" i="32"/>
  <c r="G16" i="32"/>
  <c r="F16" i="32"/>
  <c r="AA14" i="32"/>
  <c r="P34" i="34" l="1"/>
  <c r="P27" i="34"/>
  <c r="N26" i="34"/>
  <c r="N22" i="34"/>
  <c r="L21" i="32"/>
  <c r="L25" i="32"/>
  <c r="M27" i="32"/>
  <c r="L34" i="32"/>
  <c r="P34" i="32" s="1"/>
  <c r="M42" i="32"/>
  <c r="N30" i="32"/>
  <c r="L27" i="32"/>
  <c r="M17" i="32"/>
  <c r="M19" i="32"/>
  <c r="L22" i="32"/>
  <c r="M33" i="32"/>
  <c r="Z37" i="32"/>
  <c r="N18" i="34"/>
  <c r="P32" i="34"/>
  <c r="N20" i="34"/>
  <c r="N36" i="34"/>
  <c r="N35" i="34"/>
  <c r="N17" i="34"/>
  <c r="P36" i="34"/>
  <c r="P35" i="34"/>
  <c r="N30" i="34"/>
  <c r="M23" i="34"/>
  <c r="N23" i="34" s="1"/>
  <c r="M25" i="34"/>
  <c r="N25" i="34" s="1"/>
  <c r="N21" i="34"/>
  <c r="M33" i="34"/>
  <c r="N33" i="34" s="1"/>
  <c r="K48" i="34"/>
  <c r="N16" i="34"/>
  <c r="L48" i="34"/>
  <c r="M48" i="34"/>
  <c r="AA20" i="34" s="1"/>
  <c r="AA38" i="34" s="1"/>
  <c r="AA34" i="34"/>
  <c r="P16" i="34"/>
  <c r="P31" i="32"/>
  <c r="N19" i="32"/>
  <c r="M24" i="32"/>
  <c r="L32" i="32"/>
  <c r="M34" i="32"/>
  <c r="N34" i="32" s="1"/>
  <c r="L37" i="32"/>
  <c r="L38" i="32"/>
  <c r="L43" i="32"/>
  <c r="P43" i="32" s="1"/>
  <c r="L17" i="32"/>
  <c r="N17" i="32" s="1"/>
  <c r="M28" i="32"/>
  <c r="N28" i="32" s="1"/>
  <c r="H31" i="32"/>
  <c r="L23" i="32"/>
  <c r="M25" i="32"/>
  <c r="N25" i="32" s="1"/>
  <c r="P30" i="32"/>
  <c r="M31" i="32"/>
  <c r="N31" i="32" s="1"/>
  <c r="M36" i="32"/>
  <c r="L39" i="32"/>
  <c r="P39" i="32" s="1"/>
  <c r="L44" i="32"/>
  <c r="L46" i="32"/>
  <c r="M26" i="32"/>
  <c r="P28" i="32"/>
  <c r="L29" i="32"/>
  <c r="M32" i="32"/>
  <c r="L35" i="32"/>
  <c r="M37" i="32"/>
  <c r="L40" i="32"/>
  <c r="L42" i="32"/>
  <c r="P21" i="32"/>
  <c r="K16" i="32"/>
  <c r="I48" i="32"/>
  <c r="J18" i="32"/>
  <c r="K18" i="32" s="1"/>
  <c r="M18" i="32"/>
  <c r="N18" i="32"/>
  <c r="H22" i="32"/>
  <c r="P22" i="32"/>
  <c r="H25" i="32"/>
  <c r="P25" i="32"/>
  <c r="S48" i="32"/>
  <c r="P18" i="32"/>
  <c r="P23" i="32"/>
  <c r="H23" i="32"/>
  <c r="H38" i="32"/>
  <c r="P38" i="32"/>
  <c r="J41" i="32"/>
  <c r="K41" i="32" s="1"/>
  <c r="H41" i="32"/>
  <c r="L41" i="32"/>
  <c r="J45" i="32"/>
  <c r="K45" i="32" s="1"/>
  <c r="M45" i="32"/>
  <c r="H45" i="32"/>
  <c r="L45" i="32"/>
  <c r="P16" i="32"/>
  <c r="T48" i="32"/>
  <c r="H20" i="32"/>
  <c r="J21" i="32"/>
  <c r="K21" i="32" s="1"/>
  <c r="K22" i="32"/>
  <c r="N22" i="32"/>
  <c r="M23" i="32"/>
  <c r="N23" i="32" s="1"/>
  <c r="L26" i="32"/>
  <c r="N26" i="32" s="1"/>
  <c r="H29" i="32"/>
  <c r="P29" i="32"/>
  <c r="L33" i="32"/>
  <c r="N33" i="32" s="1"/>
  <c r="M35" i="32"/>
  <c r="N35" i="32" s="1"/>
  <c r="M38" i="32"/>
  <c r="N38" i="32" s="1"/>
  <c r="P32" i="32"/>
  <c r="H32" i="32"/>
  <c r="H37" i="32"/>
  <c r="P37" i="32"/>
  <c r="H17" i="32"/>
  <c r="P17" i="32"/>
  <c r="H18" i="32"/>
  <c r="L20" i="32"/>
  <c r="P26" i="32"/>
  <c r="P33" i="32"/>
  <c r="P35" i="32"/>
  <c r="H35" i="32"/>
  <c r="M16" i="32"/>
  <c r="U48" i="32"/>
  <c r="K17" i="32"/>
  <c r="P19" i="32"/>
  <c r="M20" i="32"/>
  <c r="L24" i="32"/>
  <c r="N24" i="32" s="1"/>
  <c r="P27" i="32"/>
  <c r="H27" i="32"/>
  <c r="M29" i="32"/>
  <c r="N29" i="32" s="1"/>
  <c r="AA31" i="32"/>
  <c r="H34" i="32"/>
  <c r="L36" i="32"/>
  <c r="N36" i="32" s="1"/>
  <c r="J39" i="32"/>
  <c r="K39" i="32" s="1"/>
  <c r="H39" i="32"/>
  <c r="M40" i="32"/>
  <c r="N40" i="32" s="1"/>
  <c r="N42" i="32"/>
  <c r="J43" i="32"/>
  <c r="K43" i="32" s="1"/>
  <c r="H43" i="32"/>
  <c r="M44" i="32"/>
  <c r="N44" i="32" s="1"/>
  <c r="N46" i="32"/>
  <c r="P40" i="32"/>
  <c r="P42" i="32"/>
  <c r="P44" i="32"/>
  <c r="P46" i="32"/>
  <c r="F48" i="32"/>
  <c r="H48" i="32" s="1"/>
  <c r="J48" i="32"/>
  <c r="AA18" i="32" s="1"/>
  <c r="AA34" i="32" s="1"/>
  <c r="N27" i="32" l="1"/>
  <c r="P48" i="34"/>
  <c r="N48" i="34"/>
  <c r="AA37" i="34"/>
  <c r="AA22" i="34"/>
  <c r="N32" i="32"/>
  <c r="N37" i="32"/>
  <c r="K48" i="32"/>
  <c r="P36" i="32"/>
  <c r="P41" i="32"/>
  <c r="M39" i="32"/>
  <c r="N39" i="32" s="1"/>
  <c r="M41" i="32"/>
  <c r="N41" i="32" s="1"/>
  <c r="N45" i="32"/>
  <c r="P45" i="32"/>
  <c r="N20" i="32"/>
  <c r="P20" i="32"/>
  <c r="M43" i="32"/>
  <c r="N43" i="32" s="1"/>
  <c r="M48" i="32"/>
  <c r="AA20" i="32" s="1"/>
  <c r="AA38" i="32" s="1"/>
  <c r="P24" i="32"/>
  <c r="M21" i="32"/>
  <c r="N21" i="32" s="1"/>
  <c r="N16" i="32"/>
  <c r="L48" i="32"/>
  <c r="P48" i="32" l="1"/>
  <c r="AA37" i="32"/>
  <c r="N48" i="32"/>
  <c r="AA22" i="32"/>
  <c r="E48" i="30" l="1"/>
  <c r="Z37" i="30" s="1"/>
  <c r="D48" i="30"/>
  <c r="C48" i="30"/>
  <c r="U46" i="30"/>
  <c r="T46" i="30"/>
  <c r="S46" i="30"/>
  <c r="R46" i="30"/>
  <c r="I46" i="30"/>
  <c r="G46" i="30"/>
  <c r="J46" i="30" s="1"/>
  <c r="F46" i="30"/>
  <c r="H46" i="30" s="1"/>
  <c r="T45" i="30"/>
  <c r="S45" i="30"/>
  <c r="U45" i="30" s="1"/>
  <c r="R45" i="30"/>
  <c r="J45" i="30"/>
  <c r="I45" i="30"/>
  <c r="G45" i="30"/>
  <c r="F45" i="30"/>
  <c r="H45" i="30" s="1"/>
  <c r="T44" i="30"/>
  <c r="S44" i="30"/>
  <c r="U44" i="30" s="1"/>
  <c r="R44" i="30"/>
  <c r="I44" i="30"/>
  <c r="G44" i="30"/>
  <c r="J44" i="30" s="1"/>
  <c r="F44" i="30"/>
  <c r="H44" i="30" s="1"/>
  <c r="T43" i="30"/>
  <c r="S43" i="30"/>
  <c r="R43" i="30"/>
  <c r="J43" i="30"/>
  <c r="I43" i="30"/>
  <c r="G43" i="30"/>
  <c r="F43" i="30"/>
  <c r="H43" i="30" s="1"/>
  <c r="T42" i="30"/>
  <c r="S42" i="30"/>
  <c r="R42" i="30"/>
  <c r="I42" i="30"/>
  <c r="G42" i="30"/>
  <c r="J42" i="30" s="1"/>
  <c r="F42" i="30"/>
  <c r="H42" i="30" s="1"/>
  <c r="T41" i="30"/>
  <c r="S41" i="30"/>
  <c r="R41" i="30"/>
  <c r="J41" i="30"/>
  <c r="I41" i="30"/>
  <c r="G41" i="30"/>
  <c r="F41" i="30"/>
  <c r="H41" i="30" s="1"/>
  <c r="T40" i="30"/>
  <c r="S40" i="30"/>
  <c r="R40" i="30"/>
  <c r="I40" i="30"/>
  <c r="G40" i="30"/>
  <c r="J40" i="30" s="1"/>
  <c r="F40" i="30"/>
  <c r="H40" i="30" s="1"/>
  <c r="T39" i="30"/>
  <c r="S39" i="30"/>
  <c r="U39" i="30" s="1"/>
  <c r="R39" i="30"/>
  <c r="J39" i="30"/>
  <c r="I39" i="30"/>
  <c r="G39" i="30"/>
  <c r="F39" i="30"/>
  <c r="H39" i="30" s="1"/>
  <c r="T38" i="30"/>
  <c r="S38" i="30"/>
  <c r="U38" i="30" s="1"/>
  <c r="R38" i="30"/>
  <c r="I38" i="30"/>
  <c r="K38" i="30" s="1"/>
  <c r="G38" i="30"/>
  <c r="J38" i="30" s="1"/>
  <c r="F38" i="30"/>
  <c r="H38" i="30" s="1"/>
  <c r="T37" i="30"/>
  <c r="S37" i="30"/>
  <c r="U37" i="30" s="1"/>
  <c r="R37" i="30"/>
  <c r="I37" i="30"/>
  <c r="G37" i="30"/>
  <c r="J37" i="30" s="1"/>
  <c r="F37" i="30"/>
  <c r="H37" i="30" s="1"/>
  <c r="T36" i="30"/>
  <c r="S36" i="30"/>
  <c r="R36" i="30"/>
  <c r="I36" i="30"/>
  <c r="G36" i="30"/>
  <c r="J36" i="30" s="1"/>
  <c r="K36" i="30" s="1"/>
  <c r="F36" i="30"/>
  <c r="H36" i="30" s="1"/>
  <c r="T35" i="30"/>
  <c r="S35" i="30"/>
  <c r="R35" i="30"/>
  <c r="I35" i="30"/>
  <c r="G35" i="30"/>
  <c r="J35" i="30" s="1"/>
  <c r="F35" i="30"/>
  <c r="H35" i="30" s="1"/>
  <c r="Z34" i="30"/>
  <c r="T34" i="30"/>
  <c r="S34" i="30"/>
  <c r="R34" i="30"/>
  <c r="I34" i="30"/>
  <c r="G34" i="30"/>
  <c r="J34" i="30" s="1"/>
  <c r="F34" i="30"/>
  <c r="H34" i="30" s="1"/>
  <c r="T33" i="30"/>
  <c r="S33" i="30"/>
  <c r="U33" i="30" s="1"/>
  <c r="R33" i="30"/>
  <c r="I33" i="30"/>
  <c r="G33" i="30"/>
  <c r="J33" i="30" s="1"/>
  <c r="F33" i="30"/>
  <c r="H33" i="30" s="1"/>
  <c r="T32" i="30"/>
  <c r="S32" i="30"/>
  <c r="U32" i="30" s="1"/>
  <c r="R32" i="30"/>
  <c r="I32" i="30"/>
  <c r="G32" i="30"/>
  <c r="J32" i="30" s="1"/>
  <c r="F32" i="30"/>
  <c r="H32" i="30" s="1"/>
  <c r="Z31" i="30"/>
  <c r="U31" i="30"/>
  <c r="T31" i="30"/>
  <c r="S31" i="30"/>
  <c r="R31" i="30"/>
  <c r="I31" i="30"/>
  <c r="G31" i="30"/>
  <c r="J31" i="30" s="1"/>
  <c r="F31" i="30"/>
  <c r="H31" i="30" s="1"/>
  <c r="U30" i="30"/>
  <c r="T30" i="30"/>
  <c r="S30" i="30"/>
  <c r="R30" i="30"/>
  <c r="I30" i="30"/>
  <c r="G30" i="30"/>
  <c r="F30" i="30"/>
  <c r="T29" i="30"/>
  <c r="S29" i="30"/>
  <c r="R29" i="30"/>
  <c r="J29" i="30"/>
  <c r="I29" i="30"/>
  <c r="G29" i="30"/>
  <c r="F29" i="30"/>
  <c r="H29" i="30" s="1"/>
  <c r="T28" i="30"/>
  <c r="S28" i="30"/>
  <c r="R28" i="30"/>
  <c r="U28" i="30" s="1"/>
  <c r="I28" i="30"/>
  <c r="G28" i="30"/>
  <c r="J28" i="30" s="1"/>
  <c r="F28" i="30"/>
  <c r="H28" i="30" s="1"/>
  <c r="U27" i="30"/>
  <c r="T27" i="30"/>
  <c r="S27" i="30"/>
  <c r="R27" i="30"/>
  <c r="J27" i="30"/>
  <c r="I27" i="30"/>
  <c r="G27" i="30"/>
  <c r="F27" i="30"/>
  <c r="H27" i="30" s="1"/>
  <c r="U26" i="30"/>
  <c r="T26" i="30"/>
  <c r="S26" i="30"/>
  <c r="R26" i="30"/>
  <c r="I26" i="30"/>
  <c r="G26" i="30"/>
  <c r="J26" i="30" s="1"/>
  <c r="F26" i="30"/>
  <c r="H26" i="30" s="1"/>
  <c r="T25" i="30"/>
  <c r="S25" i="30"/>
  <c r="U25" i="30" s="1"/>
  <c r="R25" i="30"/>
  <c r="J25" i="30"/>
  <c r="I25" i="30"/>
  <c r="K25" i="30" s="1"/>
  <c r="G25" i="30"/>
  <c r="F25" i="30"/>
  <c r="H25" i="30" s="1"/>
  <c r="T24" i="30"/>
  <c r="S24" i="30"/>
  <c r="U24" i="30" s="1"/>
  <c r="R24" i="30"/>
  <c r="I24" i="30"/>
  <c r="G24" i="30"/>
  <c r="J24" i="30" s="1"/>
  <c r="F24" i="30"/>
  <c r="H24" i="30" s="1"/>
  <c r="T23" i="30"/>
  <c r="S23" i="30"/>
  <c r="U23" i="30" s="1"/>
  <c r="R23" i="30"/>
  <c r="J23" i="30"/>
  <c r="I23" i="30"/>
  <c r="K23" i="30" s="1"/>
  <c r="G23" i="30"/>
  <c r="F23" i="30"/>
  <c r="H23" i="30" s="1"/>
  <c r="T22" i="30"/>
  <c r="S22" i="30"/>
  <c r="U22" i="30" s="1"/>
  <c r="R22" i="30"/>
  <c r="I22" i="30"/>
  <c r="G22" i="30"/>
  <c r="J22" i="30" s="1"/>
  <c r="F22" i="30"/>
  <c r="H22" i="30" s="1"/>
  <c r="T21" i="30"/>
  <c r="S21" i="30"/>
  <c r="R21" i="30"/>
  <c r="J21" i="30"/>
  <c r="I21" i="30"/>
  <c r="G21" i="30"/>
  <c r="F21" i="30"/>
  <c r="H21" i="30" s="1"/>
  <c r="T20" i="30"/>
  <c r="S20" i="30"/>
  <c r="R20" i="30"/>
  <c r="J20" i="30"/>
  <c r="I20" i="30"/>
  <c r="G20" i="30"/>
  <c r="F20" i="30"/>
  <c r="H20" i="30" s="1"/>
  <c r="T19" i="30"/>
  <c r="S19" i="30"/>
  <c r="R19" i="30"/>
  <c r="I19" i="30"/>
  <c r="G19" i="30"/>
  <c r="J19" i="30" s="1"/>
  <c r="F19" i="30"/>
  <c r="H19" i="30" s="1"/>
  <c r="U18" i="30"/>
  <c r="T18" i="30"/>
  <c r="S18" i="30"/>
  <c r="R18" i="30"/>
  <c r="J18" i="30"/>
  <c r="I18" i="30"/>
  <c r="G18" i="30"/>
  <c r="F18" i="30"/>
  <c r="H18" i="30" s="1"/>
  <c r="U17" i="30"/>
  <c r="T17" i="30"/>
  <c r="S17" i="30"/>
  <c r="R17" i="30"/>
  <c r="I17" i="30"/>
  <c r="G17" i="30"/>
  <c r="J17" i="30" s="1"/>
  <c r="F17" i="30"/>
  <c r="H17" i="30" s="1"/>
  <c r="T16" i="30"/>
  <c r="S16" i="30"/>
  <c r="U16" i="30" s="1"/>
  <c r="R16" i="30"/>
  <c r="I16" i="30"/>
  <c r="G16" i="30"/>
  <c r="J16" i="30" s="1"/>
  <c r="F16" i="30"/>
  <c r="U40" i="30" l="1"/>
  <c r="U43" i="30"/>
  <c r="U19" i="30"/>
  <c r="U29" i="30"/>
  <c r="L29" i="30" s="1"/>
  <c r="P29" i="30" s="1"/>
  <c r="U36" i="30"/>
  <c r="U42" i="30"/>
  <c r="U21" i="30"/>
  <c r="U35" i="30"/>
  <c r="M35" i="30" s="1"/>
  <c r="U20" i="30"/>
  <c r="U34" i="30"/>
  <c r="M34" i="30" s="1"/>
  <c r="U41" i="30"/>
  <c r="M41" i="30" s="1"/>
  <c r="I48" i="30"/>
  <c r="K19" i="30"/>
  <c r="K27" i="30"/>
  <c r="K33" i="30"/>
  <c r="M39" i="30"/>
  <c r="L31" i="30"/>
  <c r="P31" i="30" s="1"/>
  <c r="M45" i="30"/>
  <c r="M43" i="30"/>
  <c r="L19" i="30"/>
  <c r="P19" i="30" s="1"/>
  <c r="R48" i="30"/>
  <c r="S48" i="30"/>
  <c r="K22" i="30"/>
  <c r="K40" i="30"/>
  <c r="K42" i="30"/>
  <c r="K44" i="30"/>
  <c r="K46" i="30"/>
  <c r="K17" i="30"/>
  <c r="K16" i="30"/>
  <c r="K18" i="30"/>
  <c r="K20" i="30"/>
  <c r="K21" i="30"/>
  <c r="K24" i="30"/>
  <c r="K26" i="30"/>
  <c r="K28" i="30"/>
  <c r="K29" i="30"/>
  <c r="L30" i="30"/>
  <c r="P30" i="30" s="1"/>
  <c r="K39" i="30"/>
  <c r="K41" i="30"/>
  <c r="K43" i="30"/>
  <c r="K45" i="30"/>
  <c r="M31" i="30"/>
  <c r="M37" i="30"/>
  <c r="L37" i="30"/>
  <c r="L40" i="30"/>
  <c r="P40" i="30" s="1"/>
  <c r="L42" i="30"/>
  <c r="P42" i="30" s="1"/>
  <c r="L44" i="30"/>
  <c r="P44" i="30" s="1"/>
  <c r="L46" i="30"/>
  <c r="P46" i="30" s="1"/>
  <c r="M21" i="30"/>
  <c r="K31" i="30"/>
  <c r="M18" i="30"/>
  <c r="T48" i="30"/>
  <c r="L23" i="30"/>
  <c r="P23" i="30" s="1"/>
  <c r="L24" i="30"/>
  <c r="P24" i="30" s="1"/>
  <c r="L25" i="30"/>
  <c r="P25" i="30" s="1"/>
  <c r="L26" i="30"/>
  <c r="P26" i="30" s="1"/>
  <c r="L27" i="30"/>
  <c r="P27" i="30" s="1"/>
  <c r="L28" i="30"/>
  <c r="P28" i="30" s="1"/>
  <c r="J30" i="30"/>
  <c r="K30" i="30" s="1"/>
  <c r="H30" i="30"/>
  <c r="M32" i="30"/>
  <c r="L32" i="30"/>
  <c r="P32" i="30" s="1"/>
  <c r="L33" i="30"/>
  <c r="P33" i="30" s="1"/>
  <c r="L36" i="30"/>
  <c r="P36" i="30" s="1"/>
  <c r="M38" i="30"/>
  <c r="L38" i="30"/>
  <c r="P38" i="30" s="1"/>
  <c r="L39" i="30"/>
  <c r="L41" i="30"/>
  <c r="P41" i="30" s="1"/>
  <c r="L43" i="30"/>
  <c r="L45" i="30"/>
  <c r="P45" i="30" s="1"/>
  <c r="L17" i="30"/>
  <c r="P17" i="30" s="1"/>
  <c r="L22" i="30"/>
  <c r="P22" i="30" s="1"/>
  <c r="F48" i="30"/>
  <c r="L18" i="30"/>
  <c r="P18" i="30" s="1"/>
  <c r="L20" i="30"/>
  <c r="P20" i="30" s="1"/>
  <c r="L21" i="30"/>
  <c r="P21" i="30" s="1"/>
  <c r="G48" i="30"/>
  <c r="AA16" i="30" s="1"/>
  <c r="H16" i="30"/>
  <c r="L16" i="30"/>
  <c r="M22" i="30"/>
  <c r="M40" i="30"/>
  <c r="M42" i="30"/>
  <c r="M44" i="30"/>
  <c r="M46" i="30"/>
  <c r="M20" i="30"/>
  <c r="M23" i="30"/>
  <c r="M27" i="30"/>
  <c r="M17" i="30"/>
  <c r="AA14" i="30"/>
  <c r="M16" i="30"/>
  <c r="M19" i="30"/>
  <c r="N19" i="30" s="1"/>
  <c r="M24" i="30"/>
  <c r="M26" i="30"/>
  <c r="M28" i="30"/>
  <c r="K32" i="30"/>
  <c r="M33" i="30"/>
  <c r="K34" i="30"/>
  <c r="K35" i="30"/>
  <c r="M36" i="30"/>
  <c r="K37" i="30"/>
  <c r="M25" i="30"/>
  <c r="L35" i="30" l="1"/>
  <c r="P35" i="30" s="1"/>
  <c r="M29" i="30"/>
  <c r="N29" i="30" s="1"/>
  <c r="N31" i="30"/>
  <c r="U48" i="30"/>
  <c r="L34" i="30"/>
  <c r="P34" i="30" s="1"/>
  <c r="N39" i="30"/>
  <c r="N23" i="30"/>
  <c r="N28" i="30"/>
  <c r="N27" i="30"/>
  <c r="P39" i="30"/>
  <c r="N32" i="30"/>
  <c r="N46" i="30"/>
  <c r="N43" i="30"/>
  <c r="N37" i="30"/>
  <c r="N25" i="30"/>
  <c r="P37" i="30"/>
  <c r="N21" i="30"/>
  <c r="N24" i="30"/>
  <c r="N20" i="30"/>
  <c r="N41" i="30"/>
  <c r="N18" i="30"/>
  <c r="N45" i="30"/>
  <c r="N17" i="30"/>
  <c r="N40" i="30"/>
  <c r="N26" i="30"/>
  <c r="N44" i="30"/>
  <c r="N35" i="30"/>
  <c r="N34" i="30"/>
  <c r="P43" i="30"/>
  <c r="N36" i="30"/>
  <c r="N42" i="30"/>
  <c r="N22" i="30"/>
  <c r="N33" i="30"/>
  <c r="J48" i="30"/>
  <c r="AA18" i="30" s="1"/>
  <c r="AA34" i="30" s="1"/>
  <c r="N38" i="30"/>
  <c r="M30" i="30"/>
  <c r="N30" i="30" s="1"/>
  <c r="N16" i="30"/>
  <c r="L48" i="30"/>
  <c r="P16" i="30"/>
  <c r="H48" i="30"/>
  <c r="AA31" i="30"/>
  <c r="P48" i="30" l="1"/>
  <c r="K48" i="30"/>
  <c r="M48" i="30"/>
  <c r="AA20" i="30" s="1"/>
  <c r="AA22" i="30" l="1"/>
  <c r="AA38" i="30"/>
  <c r="N48" i="30"/>
  <c r="AA37" i="30"/>
  <c r="I46" i="21" l="1"/>
  <c r="G20" i="21" l="1"/>
  <c r="J20" i="21" s="1"/>
  <c r="G31" i="21"/>
  <c r="F29" i="21"/>
  <c r="S17" i="21" l="1"/>
  <c r="S18" i="21"/>
  <c r="S19" i="21"/>
  <c r="S20" i="21"/>
  <c r="S21" i="21"/>
  <c r="S22" i="21"/>
  <c r="S23" i="21"/>
  <c r="S24" i="21"/>
  <c r="S25" i="21"/>
  <c r="S26" i="21"/>
  <c r="S27" i="21"/>
  <c r="S28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16" i="21"/>
  <c r="C48" i="21" l="1"/>
  <c r="G48" i="21" s="1"/>
  <c r="U25" i="21"/>
  <c r="T25" i="21"/>
  <c r="E48" i="21"/>
  <c r="D48" i="21"/>
  <c r="U46" i="21"/>
  <c r="T46" i="21"/>
  <c r="R46" i="21"/>
  <c r="G46" i="21"/>
  <c r="J46" i="21" s="1"/>
  <c r="K46" i="21" s="1"/>
  <c r="F46" i="21"/>
  <c r="U45" i="21"/>
  <c r="T45" i="21"/>
  <c r="R45" i="21"/>
  <c r="I45" i="21"/>
  <c r="G45" i="21"/>
  <c r="J45" i="21" s="1"/>
  <c r="F45" i="21"/>
  <c r="U44" i="21"/>
  <c r="T44" i="21"/>
  <c r="R44" i="21"/>
  <c r="I44" i="21"/>
  <c r="G44" i="21"/>
  <c r="J44" i="21" s="1"/>
  <c r="F44" i="21"/>
  <c r="U43" i="21"/>
  <c r="T43" i="21"/>
  <c r="R43" i="21"/>
  <c r="I43" i="21"/>
  <c r="G43" i="21"/>
  <c r="F43" i="21"/>
  <c r="U42" i="21"/>
  <c r="T42" i="21"/>
  <c r="R42" i="21"/>
  <c r="I42" i="21"/>
  <c r="G42" i="21"/>
  <c r="J42" i="21" s="1"/>
  <c r="F42" i="21"/>
  <c r="U41" i="21"/>
  <c r="T41" i="21"/>
  <c r="R41" i="21"/>
  <c r="I41" i="21"/>
  <c r="G41" i="21"/>
  <c r="F41" i="21"/>
  <c r="U40" i="21"/>
  <c r="T40" i="21"/>
  <c r="R40" i="21"/>
  <c r="I40" i="21"/>
  <c r="G40" i="21"/>
  <c r="J40" i="21" s="1"/>
  <c r="F40" i="21"/>
  <c r="U39" i="21"/>
  <c r="T39" i="21"/>
  <c r="R39" i="21"/>
  <c r="I39" i="21"/>
  <c r="G39" i="21"/>
  <c r="F39" i="21"/>
  <c r="U38" i="21"/>
  <c r="T38" i="21"/>
  <c r="R38" i="21"/>
  <c r="I38" i="21"/>
  <c r="G38" i="21"/>
  <c r="J38" i="21" s="1"/>
  <c r="F38" i="21"/>
  <c r="U37" i="21"/>
  <c r="T37" i="21"/>
  <c r="R37" i="21"/>
  <c r="I37" i="21"/>
  <c r="G37" i="21"/>
  <c r="J37" i="21" s="1"/>
  <c r="F37" i="21"/>
  <c r="U36" i="21"/>
  <c r="T36" i="21"/>
  <c r="R36" i="21"/>
  <c r="I36" i="21"/>
  <c r="G36" i="21"/>
  <c r="J36" i="21" s="1"/>
  <c r="F36" i="21"/>
  <c r="U35" i="21"/>
  <c r="T35" i="21"/>
  <c r="R35" i="21"/>
  <c r="I35" i="21"/>
  <c r="G35" i="21"/>
  <c r="J35" i="21" s="1"/>
  <c r="F35" i="21"/>
  <c r="Z34" i="21"/>
  <c r="U34" i="21"/>
  <c r="T34" i="21"/>
  <c r="R34" i="21"/>
  <c r="J34" i="21"/>
  <c r="I34" i="21"/>
  <c r="G34" i="21"/>
  <c r="F34" i="21"/>
  <c r="U33" i="21"/>
  <c r="T33" i="21"/>
  <c r="R33" i="21"/>
  <c r="I33" i="21"/>
  <c r="G33" i="21"/>
  <c r="J33" i="21" s="1"/>
  <c r="F33" i="21"/>
  <c r="U32" i="21"/>
  <c r="T32" i="21"/>
  <c r="R32" i="21"/>
  <c r="I32" i="21"/>
  <c r="G32" i="21"/>
  <c r="J32" i="21" s="1"/>
  <c r="F32" i="21"/>
  <c r="Z31" i="21"/>
  <c r="U31" i="21"/>
  <c r="T31" i="21"/>
  <c r="R31" i="21"/>
  <c r="J31" i="21"/>
  <c r="K31" i="21" s="1"/>
  <c r="I31" i="21"/>
  <c r="F31" i="21"/>
  <c r="U30" i="21"/>
  <c r="T30" i="21"/>
  <c r="R30" i="21"/>
  <c r="I30" i="21"/>
  <c r="G30" i="21"/>
  <c r="F30" i="21"/>
  <c r="U29" i="21"/>
  <c r="T29" i="21"/>
  <c r="R29" i="21"/>
  <c r="L29" i="21" s="1"/>
  <c r="I29" i="21"/>
  <c r="G29" i="21"/>
  <c r="U28" i="21"/>
  <c r="T28" i="21"/>
  <c r="R28" i="21"/>
  <c r="I28" i="21"/>
  <c r="G28" i="21"/>
  <c r="J28" i="21" s="1"/>
  <c r="F28" i="21"/>
  <c r="U27" i="21"/>
  <c r="T27" i="21"/>
  <c r="R27" i="21"/>
  <c r="I27" i="21"/>
  <c r="G27" i="21"/>
  <c r="J27" i="21" s="1"/>
  <c r="F27" i="21"/>
  <c r="U26" i="21"/>
  <c r="T26" i="21"/>
  <c r="R26" i="21"/>
  <c r="I26" i="21"/>
  <c r="G26" i="21"/>
  <c r="J26" i="21" s="1"/>
  <c r="F26" i="21"/>
  <c r="R25" i="21"/>
  <c r="I25" i="21"/>
  <c r="G25" i="21"/>
  <c r="J25" i="21" s="1"/>
  <c r="F25" i="21"/>
  <c r="U24" i="21"/>
  <c r="T24" i="21"/>
  <c r="R24" i="21"/>
  <c r="I24" i="21"/>
  <c r="G24" i="21"/>
  <c r="J24" i="21" s="1"/>
  <c r="F24" i="21"/>
  <c r="U23" i="21"/>
  <c r="T23" i="21"/>
  <c r="R23" i="21"/>
  <c r="I23" i="21"/>
  <c r="G23" i="21"/>
  <c r="J23" i="21" s="1"/>
  <c r="F23" i="21"/>
  <c r="U22" i="21"/>
  <c r="T22" i="21"/>
  <c r="R22" i="21"/>
  <c r="I22" i="21"/>
  <c r="G22" i="21"/>
  <c r="J22" i="21" s="1"/>
  <c r="F22" i="21"/>
  <c r="U21" i="21"/>
  <c r="T21" i="21"/>
  <c r="R21" i="21"/>
  <c r="I21" i="21"/>
  <c r="G21" i="21"/>
  <c r="F21" i="21"/>
  <c r="U20" i="21"/>
  <c r="T20" i="21"/>
  <c r="R20" i="21"/>
  <c r="I20" i="21"/>
  <c r="K20" i="21" s="1"/>
  <c r="F20" i="21"/>
  <c r="U19" i="21"/>
  <c r="T19" i="21"/>
  <c r="R19" i="21"/>
  <c r="I19" i="21"/>
  <c r="G19" i="21"/>
  <c r="J19" i="21" s="1"/>
  <c r="F19" i="21"/>
  <c r="U18" i="21"/>
  <c r="T18" i="21"/>
  <c r="R18" i="21"/>
  <c r="I18" i="21"/>
  <c r="G18" i="21"/>
  <c r="F18" i="21"/>
  <c r="U17" i="21"/>
  <c r="T17" i="21"/>
  <c r="R17" i="21"/>
  <c r="I17" i="21"/>
  <c r="G17" i="21"/>
  <c r="J17" i="21" s="1"/>
  <c r="F17" i="21"/>
  <c r="U16" i="21"/>
  <c r="T16" i="21"/>
  <c r="R16" i="21"/>
  <c r="I16" i="21"/>
  <c r="G16" i="21"/>
  <c r="J16" i="21" s="1"/>
  <c r="F16" i="21"/>
  <c r="AA14" i="21"/>
  <c r="H36" i="21" l="1"/>
  <c r="H40" i="21"/>
  <c r="M52" i="21"/>
  <c r="Z37" i="21" s="1"/>
  <c r="J48" i="21"/>
  <c r="AA18" i="21" s="1"/>
  <c r="AA34" i="21" s="1"/>
  <c r="K27" i="21"/>
  <c r="K25" i="21"/>
  <c r="K32" i="21"/>
  <c r="H17" i="21"/>
  <c r="H19" i="21"/>
  <c r="H26" i="21"/>
  <c r="K38" i="21"/>
  <c r="H44" i="21"/>
  <c r="H24" i="21"/>
  <c r="K37" i="21"/>
  <c r="M46" i="21"/>
  <c r="H16" i="21"/>
  <c r="K17" i="21"/>
  <c r="K22" i="21"/>
  <c r="K23" i="21"/>
  <c r="H28" i="21"/>
  <c r="H33" i="21"/>
  <c r="K34" i="21"/>
  <c r="K35" i="21"/>
  <c r="H42" i="21"/>
  <c r="K40" i="21"/>
  <c r="K44" i="21"/>
  <c r="H22" i="21"/>
  <c r="K42" i="21"/>
  <c r="H46" i="21"/>
  <c r="J30" i="21"/>
  <c r="M30" i="21" s="1"/>
  <c r="L28" i="21"/>
  <c r="M16" i="21"/>
  <c r="H30" i="21"/>
  <c r="AA16" i="21"/>
  <c r="AA31" i="21" s="1"/>
  <c r="J29" i="21"/>
  <c r="K29" i="21" s="1"/>
  <c r="R48" i="21"/>
  <c r="L19" i="21"/>
  <c r="M22" i="21"/>
  <c r="L24" i="21"/>
  <c r="P24" i="21" s="1"/>
  <c r="L33" i="21"/>
  <c r="P33" i="21" s="1"/>
  <c r="L43" i="21"/>
  <c r="P43" i="21" s="1"/>
  <c r="M40" i="21"/>
  <c r="L41" i="21"/>
  <c r="M44" i="21"/>
  <c r="L45" i="21"/>
  <c r="P45" i="21" s="1"/>
  <c r="L25" i="21"/>
  <c r="P25" i="21" s="1"/>
  <c r="M19" i="21"/>
  <c r="L39" i="21"/>
  <c r="P39" i="21" s="1"/>
  <c r="L18" i="21"/>
  <c r="P18" i="21" s="1"/>
  <c r="L21" i="21"/>
  <c r="P21" i="21" s="1"/>
  <c r="M28" i="21"/>
  <c r="N28" i="21" s="1"/>
  <c r="L30" i="21"/>
  <c r="U48" i="21"/>
  <c r="L17" i="21"/>
  <c r="L22" i="21"/>
  <c r="M24" i="21"/>
  <c r="M25" i="21"/>
  <c r="P28" i="21"/>
  <c r="M32" i="21"/>
  <c r="L32" i="21"/>
  <c r="L36" i="21"/>
  <c r="P36" i="21" s="1"/>
  <c r="L42" i="21"/>
  <c r="P42" i="21" s="1"/>
  <c r="L46" i="21"/>
  <c r="P46" i="21" s="1"/>
  <c r="L26" i="21"/>
  <c r="P26" i="21" s="1"/>
  <c r="M35" i="21"/>
  <c r="L35" i="21"/>
  <c r="L40" i="21"/>
  <c r="L44" i="21"/>
  <c r="P44" i="21" s="1"/>
  <c r="M36" i="21"/>
  <c r="S48" i="21"/>
  <c r="H20" i="21"/>
  <c r="M23" i="21"/>
  <c r="M27" i="21"/>
  <c r="M31" i="21"/>
  <c r="M34" i="21"/>
  <c r="M37" i="21"/>
  <c r="H38" i="21"/>
  <c r="J41" i="21"/>
  <c r="K41" i="21" s="1"/>
  <c r="H41" i="21"/>
  <c r="M42" i="21"/>
  <c r="K45" i="21"/>
  <c r="H45" i="21"/>
  <c r="M26" i="21"/>
  <c r="H27" i="21"/>
  <c r="H31" i="21"/>
  <c r="M33" i="21"/>
  <c r="H34" i="21"/>
  <c r="H37" i="21"/>
  <c r="P41" i="21"/>
  <c r="T48" i="21"/>
  <c r="M17" i="21"/>
  <c r="M20" i="21"/>
  <c r="L23" i="21"/>
  <c r="H25" i="21"/>
  <c r="L27" i="21"/>
  <c r="H29" i="21"/>
  <c r="P29" i="21"/>
  <c r="L31" i="21"/>
  <c r="N31" i="21" s="1"/>
  <c r="H32" i="21"/>
  <c r="L34" i="21"/>
  <c r="H35" i="21"/>
  <c r="L37" i="21"/>
  <c r="M38" i="21"/>
  <c r="J18" i="21"/>
  <c r="K18" i="21" s="1"/>
  <c r="H18" i="21"/>
  <c r="H23" i="21"/>
  <c r="F48" i="21"/>
  <c r="P16" i="21"/>
  <c r="L20" i="21"/>
  <c r="J21" i="21"/>
  <c r="K21" i="21" s="1"/>
  <c r="H21" i="21"/>
  <c r="L38" i="21"/>
  <c r="J39" i="21"/>
  <c r="K39" i="21" s="1"/>
  <c r="H39" i="21"/>
  <c r="J43" i="21"/>
  <c r="K43" i="21" s="1"/>
  <c r="H43" i="21"/>
  <c r="I48" i="21"/>
  <c r="P22" i="21"/>
  <c r="K16" i="21"/>
  <c r="K19" i="21"/>
  <c r="K24" i="21"/>
  <c r="K26" i="21"/>
  <c r="K28" i="21"/>
  <c r="K33" i="21"/>
  <c r="K36" i="21"/>
  <c r="M48" i="21" l="1"/>
  <c r="AA20" i="21" s="1"/>
  <c r="AA38" i="21" s="1"/>
  <c r="M18" i="21"/>
  <c r="N18" i="21" s="1"/>
  <c r="N23" i="21"/>
  <c r="M43" i="21"/>
  <c r="N43" i="21" s="1"/>
  <c r="M41" i="21"/>
  <c r="N41" i="21" s="1"/>
  <c r="M21" i="21"/>
  <c r="N21" i="21" s="1"/>
  <c r="H48" i="21"/>
  <c r="K30" i="21"/>
  <c r="N30" i="21"/>
  <c r="P30" i="21"/>
  <c r="N33" i="21"/>
  <c r="N19" i="21"/>
  <c r="N40" i="21"/>
  <c r="N24" i="21"/>
  <c r="N25" i="21"/>
  <c r="N22" i="21"/>
  <c r="N20" i="21"/>
  <c r="N34" i="21"/>
  <c r="P19" i="21"/>
  <c r="M29" i="21"/>
  <c r="N29" i="21" s="1"/>
  <c r="N46" i="21"/>
  <c r="N35" i="21"/>
  <c r="N32" i="21"/>
  <c r="N36" i="21"/>
  <c r="P40" i="21"/>
  <c r="N17" i="21"/>
  <c r="N38" i="21"/>
  <c r="N37" i="21"/>
  <c r="N27" i="21"/>
  <c r="N26" i="21"/>
  <c r="N44" i="21"/>
  <c r="P17" i="21"/>
  <c r="N42" i="21"/>
  <c r="P35" i="21"/>
  <c r="P32" i="21"/>
  <c r="K48" i="21"/>
  <c r="P37" i="21"/>
  <c r="M39" i="21"/>
  <c r="N39" i="21" s="1"/>
  <c r="P23" i="21"/>
  <c r="P31" i="21"/>
  <c r="M45" i="21"/>
  <c r="N45" i="21" s="1"/>
  <c r="P38" i="21"/>
  <c r="P34" i="21"/>
  <c r="P20" i="21"/>
  <c r="N16" i="21"/>
  <c r="L48" i="21"/>
  <c r="P27" i="21"/>
  <c r="AA37" i="21" l="1"/>
  <c r="AA22" i="21"/>
  <c r="P48" i="21"/>
  <c r="N48" i="21"/>
</calcChain>
</file>

<file path=xl/sharedStrings.xml><?xml version="1.0" encoding="utf-8"?>
<sst xmlns="http://schemas.openxmlformats.org/spreadsheetml/2006/main" count="420" uniqueCount="111">
  <si>
    <t>日間</t>
    <rPh sb="0" eb="2">
      <t>ニチカン</t>
    </rPh>
    <phoneticPr fontId="1"/>
  </si>
  <si>
    <t>％</t>
    <phoneticPr fontId="1"/>
  </si>
  <si>
    <t>日付</t>
    <rPh sb="0" eb="2">
      <t>ヒヅケ</t>
    </rPh>
    <phoneticPr fontId="1"/>
  </si>
  <si>
    <t>細則４．（１）
に定める金額</t>
    <rPh sb="0" eb="2">
      <t>サイソク</t>
    </rPh>
    <rPh sb="9" eb="10">
      <t>サダ</t>
    </rPh>
    <rPh sb="12" eb="14">
      <t>キンガク</t>
    </rPh>
    <phoneticPr fontId="1"/>
  </si>
  <si>
    <t>細則４．（２）
に定める金額</t>
    <rPh sb="0" eb="2">
      <t>サイソク</t>
    </rPh>
    <rPh sb="9" eb="10">
      <t>サダ</t>
    </rPh>
    <rPh sb="12" eb="14">
      <t>キンガク</t>
    </rPh>
    <phoneticPr fontId="1"/>
  </si>
  <si>
    <t>細則４．（３）
に定める金額</t>
    <rPh sb="0" eb="2">
      <t>サイソク</t>
    </rPh>
    <rPh sb="9" eb="10">
      <t>サダ</t>
    </rPh>
    <rPh sb="12" eb="14">
      <t>キンガク</t>
    </rPh>
    <phoneticPr fontId="1"/>
  </si>
  <si>
    <t>円</t>
    <rPh sb="0" eb="1">
      <t>エン</t>
    </rPh>
    <phoneticPr fontId="1"/>
  </si>
  <si>
    <t>（単位：円）</t>
    <rPh sb="1" eb="3">
      <t>タンイ</t>
    </rPh>
    <rPh sb="4" eb="5">
      <t>エン</t>
    </rPh>
    <phoneticPr fontId="1"/>
  </si>
  <si>
    <t>合計</t>
    <rPh sb="0" eb="2">
      <t>ゴウケイ</t>
    </rPh>
    <phoneticPr fontId="1"/>
  </si>
  <si>
    <t>（上限値との差額）</t>
    <rPh sb="6" eb="8">
      <t>サガク</t>
    </rPh>
    <phoneticPr fontId="1"/>
  </si>
  <si>
    <t>利用にあたって</t>
    <rPh sb="0" eb="2">
      <t>リヨウ</t>
    </rPh>
    <phoneticPr fontId="1"/>
  </si>
  <si>
    <t>　日本銀行業務局総務課 営業・国債業務企画グループ</t>
    <phoneticPr fontId="1"/>
  </si>
  <si>
    <t>日</t>
    <rPh sb="0" eb="1">
      <t>ニチ</t>
    </rPh>
    <phoneticPr fontId="1"/>
  </si>
  <si>
    <t>（本ツールに関する照会先）</t>
    <rPh sb="1" eb="2">
      <t>ホン</t>
    </rPh>
    <rPh sb="6" eb="7">
      <t>カン</t>
    </rPh>
    <phoneticPr fontId="1"/>
  </si>
  <si>
    <t>①付利対象積み期間</t>
    <rPh sb="1" eb="3">
      <t>フリ</t>
    </rPh>
    <rPh sb="3" eb="5">
      <t>タイショウ</t>
    </rPh>
    <rPh sb="5" eb="6">
      <t>ツ</t>
    </rPh>
    <rPh sb="7" eb="9">
      <t>キカン</t>
    </rPh>
    <phoneticPr fontId="1"/>
  </si>
  <si>
    <t xml:space="preserve">②法定準備預金額  </t>
    <rPh sb="1" eb="3">
      <t>ホウテイ</t>
    </rPh>
    <rPh sb="3" eb="5">
      <t>ジュンビ</t>
    </rPh>
    <rPh sb="5" eb="7">
      <t>ヨキン</t>
    </rPh>
    <rPh sb="7" eb="8">
      <t>ガク</t>
    </rPh>
    <phoneticPr fontId="1"/>
  </si>
  <si>
    <t xml:space="preserve">③基準比率        </t>
    <rPh sb="1" eb="3">
      <t>キジュン</t>
    </rPh>
    <rPh sb="3" eb="5">
      <t>ヒリツ</t>
    </rPh>
    <phoneticPr fontId="1"/>
  </si>
  <si>
    <t xml:space="preserve">④加算比率        </t>
    <rPh sb="1" eb="3">
      <t>カサン</t>
    </rPh>
    <rPh sb="3" eb="5">
      <t>ヒリツ</t>
    </rPh>
    <phoneticPr fontId="1"/>
  </si>
  <si>
    <t>1日</t>
    <rPh sb="1" eb="2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</si>
  <si>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</si>
  <si>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</si>
  <si>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</si>
  <si>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</si>
  <si>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</si>
  <si>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</si>
  <si>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</si>
  <si>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</si>
  <si>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</si>
  <si>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</si>
  <si>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</si>
  <si>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</si>
  <si>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</si>
  <si>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</si>
  <si>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</si>
  <si>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</si>
  <si>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</si>
  <si>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</si>
  <si>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</si>
  <si>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</si>
  <si>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</si>
  <si>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</si>
  <si>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</si>
  <si>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</si>
  <si>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</si>
  <si>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</si>
  <si>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</si>
  <si>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</si>
  <si>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</si>
  <si>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</si>
  <si>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＜ＭＲＦ等特則２．（２）適用先＞　　　</t>
    <rPh sb="4" eb="5">
      <t>トウ</t>
    </rPh>
    <rPh sb="5" eb="7">
      <t>トクソク</t>
    </rPh>
    <rPh sb="12" eb="14">
      <t>テキヨウ</t>
    </rPh>
    <rPh sb="14" eb="15">
      <t>サキ</t>
    </rPh>
    <phoneticPr fontId="1"/>
  </si>
  <si>
    <t xml:space="preserve"> ＜新規先＞　</t>
    <rPh sb="2" eb="4">
      <t>シンキ</t>
    </rPh>
    <rPh sb="4" eb="5">
      <t>サキ</t>
    </rPh>
    <phoneticPr fontId="1"/>
  </si>
  <si>
    <t>基準平均残高
×基準比率</t>
    <rPh sb="0" eb="6">
      <t>キジュンヘイキンザンダカ</t>
    </rPh>
    <rPh sb="8" eb="12">
      <t>キジュンヒリツ</t>
    </rPh>
    <phoneticPr fontId="1"/>
  </si>
  <si>
    <t>法定準備預金額</t>
    <rPh sb="0" eb="7">
      <t>ホウテイジュンビヨキンガク</t>
    </rPh>
    <phoneticPr fontId="2"/>
  </si>
  <si>
    <t>基礎残高</t>
    <rPh sb="0" eb="4">
      <t>キソザンダカ</t>
    </rPh>
    <phoneticPr fontId="2"/>
  </si>
  <si>
    <t>＜ＭＲＦ等特則２．（１）適用先＞</t>
    <phoneticPr fontId="1"/>
  </si>
  <si>
    <t>ＭＲＦ等特則
による加算枠</t>
    <rPh sb="3" eb="4">
      <t>トウ</t>
    </rPh>
    <rPh sb="4" eb="6">
      <t>トクソク</t>
    </rPh>
    <rPh sb="10" eb="12">
      <t>カサン</t>
    </rPh>
    <rPh sb="12" eb="13">
      <t>ワク</t>
    </rPh>
    <phoneticPr fontId="1"/>
  </si>
  <si>
    <t>＜付利対象残高（積数ベース）＞</t>
    <rPh sb="1" eb="5">
      <t>フリタイショウ</t>
    </rPh>
    <rPh sb="5" eb="7">
      <t>ザンダカ</t>
    </rPh>
    <rPh sb="8" eb="10">
      <t>セキスウ</t>
    </rPh>
    <phoneticPr fontId="1"/>
  </si>
  <si>
    <t>政策金利残高
（細則４．（４））</t>
    <rPh sb="0" eb="6">
      <t>セイサクキンリザンダカ</t>
    </rPh>
    <rPh sb="8" eb="10">
      <t>サイソク</t>
    </rPh>
    <phoneticPr fontId="2"/>
  </si>
  <si>
    <t>マクロ
加算残高</t>
    <rPh sb="4" eb="8">
      <t>カサンザンダカ</t>
    </rPh>
    <phoneticPr fontId="2"/>
  </si>
  <si>
    <r>
      <t>基礎残高</t>
    </r>
    <r>
      <rPr>
        <b/>
        <sz val="17"/>
        <color indexed="10"/>
        <rFont val="ＭＳ ゴシック"/>
        <family val="3"/>
        <charset val="128"/>
      </rPr>
      <t xml:space="preserve">【ⅵ】
</t>
    </r>
    <r>
      <rPr>
        <sz val="17"/>
        <color theme="1"/>
        <rFont val="ＭＳ ゴシック"/>
        <family val="3"/>
        <charset val="128"/>
      </rPr>
      <t>（細則４．（２））</t>
    </r>
    <rPh sb="0" eb="4">
      <t>キソザンダカ</t>
    </rPh>
    <phoneticPr fontId="2"/>
  </si>
  <si>
    <r>
      <t>マクロ加算残高</t>
    </r>
    <r>
      <rPr>
        <b/>
        <sz val="17"/>
        <color indexed="10"/>
        <rFont val="ＭＳ ゴシック"/>
        <family val="3"/>
        <charset val="128"/>
      </rPr>
      <t xml:space="preserve">【ⅶ】
</t>
    </r>
    <r>
      <rPr>
        <sz val="17"/>
        <color theme="1"/>
        <rFont val="ＭＳ ゴシック"/>
        <family val="3"/>
        <charset val="128"/>
      </rPr>
      <t>（細則４．（３））</t>
    </r>
    <rPh sb="3" eb="7">
      <t>カサンザンダカ</t>
    </rPh>
    <phoneticPr fontId="2"/>
  </si>
  <si>
    <r>
      <t xml:space="preserve">上限値
</t>
    </r>
    <r>
      <rPr>
        <b/>
        <sz val="17"/>
        <color indexed="10"/>
        <rFont val="ＭＳ ゴシック"/>
        <family val="3"/>
        <charset val="128"/>
      </rPr>
      <t>【ⅷ】</t>
    </r>
    <rPh sb="0" eb="3">
      <t>ジョウゲンチ</t>
    </rPh>
    <phoneticPr fontId="1"/>
  </si>
  <si>
    <r>
      <t xml:space="preserve">未利用枠
</t>
    </r>
    <r>
      <rPr>
        <b/>
        <sz val="17"/>
        <color indexed="10"/>
        <rFont val="ＭＳ ゴシック"/>
        <family val="3"/>
        <charset val="128"/>
      </rPr>
      <t>【ⅷ－ⅴ】</t>
    </r>
    <rPh sb="0" eb="3">
      <t>ミリヨウ</t>
    </rPh>
    <rPh sb="3" eb="4">
      <t>ワク</t>
    </rPh>
    <phoneticPr fontId="1"/>
  </si>
  <si>
    <r>
      <t xml:space="preserve">上限値
</t>
    </r>
    <r>
      <rPr>
        <b/>
        <sz val="17"/>
        <color indexed="10"/>
        <rFont val="ＭＳ ゴシック"/>
        <family val="3"/>
        <charset val="128"/>
      </rPr>
      <t>【ⅸ】</t>
    </r>
    <rPh sb="0" eb="3">
      <t>ジョウゲンチ</t>
    </rPh>
    <phoneticPr fontId="1"/>
  </si>
  <si>
    <r>
      <t xml:space="preserve">上限値
</t>
    </r>
    <r>
      <rPr>
        <b/>
        <sz val="17"/>
        <color indexed="10"/>
        <rFont val="ＭＳ ゴシック"/>
        <family val="3"/>
        <charset val="128"/>
      </rPr>
      <t>【ⅹ】</t>
    </r>
    <rPh sb="0" eb="3">
      <t>ジョウゲンチ</t>
    </rPh>
    <phoneticPr fontId="1"/>
  </si>
  <si>
    <r>
      <t xml:space="preserve">未利用枠
</t>
    </r>
    <r>
      <rPr>
        <b/>
        <sz val="17"/>
        <color indexed="10"/>
        <rFont val="ＭＳ ゴシック"/>
        <family val="3"/>
        <charset val="128"/>
      </rPr>
      <t>【ⅸ－ⅵ】</t>
    </r>
    <rPh sb="0" eb="3">
      <t>ミリヨウ</t>
    </rPh>
    <rPh sb="3" eb="4">
      <t>ワク</t>
    </rPh>
    <phoneticPr fontId="1"/>
  </si>
  <si>
    <r>
      <t xml:space="preserve">未利用枠
</t>
    </r>
    <r>
      <rPr>
        <b/>
        <sz val="17"/>
        <color indexed="10"/>
        <rFont val="ＭＳ ゴシック"/>
        <family val="3"/>
        <charset val="128"/>
      </rPr>
      <t>【ⅹ－ⅶ】</t>
    </r>
    <rPh sb="0" eb="3">
      <t>ミリヨウ</t>
    </rPh>
    <rPh sb="3" eb="4">
      <t>ワク</t>
    </rPh>
    <phoneticPr fontId="1"/>
  </si>
  <si>
    <r>
      <t xml:space="preserve"> 付利対象積み期間における
 対象預金の金額</t>
    </r>
    <r>
      <rPr>
        <b/>
        <sz val="17"/>
        <color rgb="FFFF0000"/>
        <rFont val="ＭＳ ゴシック"/>
        <family val="3"/>
        <charset val="128"/>
      </rPr>
      <t>【ⅰ】</t>
    </r>
    <rPh sb="1" eb="3">
      <t>フリ</t>
    </rPh>
    <rPh sb="3" eb="5">
      <t>タイショウ</t>
    </rPh>
    <rPh sb="5" eb="6">
      <t>ツ</t>
    </rPh>
    <rPh sb="7" eb="9">
      <t>キカン</t>
    </rPh>
    <rPh sb="15" eb="17">
      <t>タイショウ</t>
    </rPh>
    <rPh sb="17" eb="19">
      <t>ヨキン</t>
    </rPh>
    <rPh sb="20" eb="22">
      <t>キンガク</t>
    </rPh>
    <phoneticPr fontId="1"/>
  </si>
  <si>
    <r>
      <rPr>
        <sz val="17"/>
        <rFont val="ＭＳ ゴシック"/>
        <family val="3"/>
        <charset val="128"/>
      </rPr>
      <t>マクロ加算残高
（上限値）</t>
    </r>
    <r>
      <rPr>
        <sz val="16"/>
        <rFont val="ＭＳ ゴシック"/>
        <family val="3"/>
        <charset val="128"/>
      </rPr>
      <t xml:space="preserve">
</t>
    </r>
    <r>
      <rPr>
        <b/>
        <sz val="17"/>
        <color indexed="10"/>
        <rFont val="ＭＳ ゴシック"/>
        <family val="3"/>
        <charset val="128"/>
      </rPr>
      <t>【ⅳ】</t>
    </r>
    <rPh sb="3" eb="7">
      <t>カサンザンダカ</t>
    </rPh>
    <rPh sb="9" eb="11">
      <t>ジョウゲン</t>
    </rPh>
    <rPh sb="11" eb="12">
      <t>ネ</t>
    </rPh>
    <phoneticPr fontId="1"/>
  </si>
  <si>
    <r>
      <t xml:space="preserve">基礎残高
（上限値）
</t>
    </r>
    <r>
      <rPr>
        <b/>
        <sz val="17"/>
        <color indexed="10"/>
        <rFont val="ＭＳ ゴシック"/>
        <family val="3"/>
        <charset val="128"/>
      </rPr>
      <t>【ⅲ】</t>
    </r>
    <rPh sb="0" eb="2">
      <t>キソ</t>
    </rPh>
    <rPh sb="2" eb="4">
      <t>ザンダカ</t>
    </rPh>
    <rPh sb="6" eb="8">
      <t>ジョウゲン</t>
    </rPh>
    <rPh sb="8" eb="9">
      <t>チ</t>
    </rPh>
    <phoneticPr fontId="1"/>
  </si>
  <si>
    <r>
      <rPr>
        <sz val="17"/>
        <rFont val="ＭＳ ゴシック"/>
        <family val="3"/>
        <charset val="128"/>
      </rPr>
      <t>法定準備預金額
（上限値）</t>
    </r>
    <r>
      <rPr>
        <sz val="17"/>
        <color indexed="10"/>
        <rFont val="ＭＳ ゴシック"/>
        <family val="3"/>
        <charset val="128"/>
      </rPr>
      <t xml:space="preserve">
</t>
    </r>
    <r>
      <rPr>
        <b/>
        <sz val="17"/>
        <color indexed="10"/>
        <rFont val="ＭＳ ゴシック"/>
        <family val="3"/>
        <charset val="128"/>
      </rPr>
      <t>【ⅱ】</t>
    </r>
    <rPh sb="0" eb="7">
      <t>ホウテイジュンビヨキンガク</t>
    </rPh>
    <rPh sb="9" eb="11">
      <t>ジョウゲン</t>
    </rPh>
    <rPh sb="11" eb="12">
      <t>チ</t>
    </rPh>
    <phoneticPr fontId="1"/>
  </si>
  <si>
    <r>
      <t xml:space="preserve">⑤対象預金の
残高
</t>
    </r>
    <r>
      <rPr>
        <b/>
        <sz val="17"/>
        <color indexed="10"/>
        <rFont val="ＭＳ ゴシック"/>
        <family val="3"/>
        <charset val="128"/>
      </rPr>
      <t>【ⅰ】</t>
    </r>
    <rPh sb="1" eb="3">
      <t>タイショウ</t>
    </rPh>
    <rPh sb="3" eb="5">
      <t>ヨキン</t>
    </rPh>
    <rPh sb="7" eb="9">
      <t>ザンダカ</t>
    </rPh>
    <phoneticPr fontId="1"/>
  </si>
  <si>
    <t>＜マクロ加算残高枠の圧縮（細則４．（３）ニ．（イ））＞　</t>
    <rPh sb="4" eb="9">
      <t>カサンザンダカワク</t>
    </rPh>
    <rPh sb="10" eb="12">
      <t>アッシュク</t>
    </rPh>
    <phoneticPr fontId="1"/>
  </si>
  <si>
    <t>＜マクロ加算残高枠の圧縮（細則４．（３）ニ．（ロ））＞　</t>
    <rPh sb="4" eb="9">
      <t>カサンザンダカワク</t>
    </rPh>
    <rPh sb="10" eb="12">
      <t>アッシュク</t>
    </rPh>
    <phoneticPr fontId="1"/>
  </si>
  <si>
    <r>
      <t>法定準備預金額</t>
    </r>
    <r>
      <rPr>
        <b/>
        <sz val="17"/>
        <color rgb="FFFF0000"/>
        <rFont val="ＭＳ ゴシック"/>
        <family val="3"/>
        <charset val="128"/>
      </rPr>
      <t>【ⅴ】</t>
    </r>
    <r>
      <rPr>
        <sz val="17"/>
        <rFont val="ＭＳ ゴシック"/>
        <family val="3"/>
        <charset val="128"/>
      </rPr>
      <t xml:space="preserve">
（細則４．（１））</t>
    </r>
    <rPh sb="0" eb="7">
      <t>ホウテイジュンビヨキンガク</t>
    </rPh>
    <rPh sb="12" eb="14">
      <t>サイソク</t>
    </rPh>
    <phoneticPr fontId="2"/>
  </si>
  <si>
    <t>＜付利対象残高枠の利用状況＞</t>
    <rPh sb="1" eb="3">
      <t>フリ</t>
    </rPh>
    <rPh sb="3" eb="5">
      <t>タイショウ</t>
    </rPh>
    <rPh sb="5" eb="7">
      <t>ザンダカ</t>
    </rPh>
    <rPh sb="7" eb="8">
      <t>ワク</t>
    </rPh>
    <rPh sb="9" eb="11">
      <t>リヨウ</t>
    </rPh>
    <rPh sb="11" eb="13">
      <t>ジョウキョウ</t>
    </rPh>
    <phoneticPr fontId="1"/>
  </si>
  <si>
    <t>マクロ加算残高の利用
実績が50％未満</t>
    <rPh sb="3" eb="5">
      <t>カサン</t>
    </rPh>
    <rPh sb="5" eb="7">
      <t>ザンダカ</t>
    </rPh>
    <rPh sb="8" eb="10">
      <t>リヨウ</t>
    </rPh>
    <rPh sb="11" eb="13">
      <t>ジッセキ</t>
    </rPh>
    <rPh sb="17" eb="19">
      <t>ミマン</t>
    </rPh>
    <phoneticPr fontId="1"/>
  </si>
  <si>
    <t>圧縮枠</t>
    <rPh sb="0" eb="2">
      <t>アッシュク</t>
    </rPh>
    <rPh sb="2" eb="3">
      <t>ワク</t>
    </rPh>
    <phoneticPr fontId="1"/>
  </si>
  <si>
    <t>参　考</t>
    <rPh sb="0" eb="1">
      <t>サン</t>
    </rPh>
    <rPh sb="2" eb="3">
      <t>コウ</t>
    </rPh>
    <phoneticPr fontId="1"/>
  </si>
  <si>
    <r>
      <rPr>
        <sz val="17"/>
        <color theme="1"/>
        <rFont val="ＭＳ ゴシック"/>
        <family val="3"/>
        <charset val="128"/>
      </rPr>
      <t>政策金利残高</t>
    </r>
    <r>
      <rPr>
        <sz val="16"/>
        <color theme="1"/>
        <rFont val="ＭＳ ゴシック"/>
        <family val="3"/>
        <charset val="128"/>
      </rPr>
      <t xml:space="preserve">
</t>
    </r>
    <r>
      <rPr>
        <b/>
        <sz val="17"/>
        <color rgb="FFFF0000"/>
        <rFont val="ＭＳ ゴシック"/>
        <family val="3"/>
        <charset val="128"/>
      </rPr>
      <t>【ⅰ－
ⅱ－ⅲ－ⅳ】</t>
    </r>
    <rPh sb="0" eb="6">
      <t>セイサクキンリザンダカ</t>
    </rPh>
    <phoneticPr fontId="1"/>
  </si>
  <si>
    <t>○</t>
  </si>
  <si>
    <r>
      <t xml:space="preserve">
</t>
    </r>
    <r>
      <rPr>
        <sz val="17"/>
        <rFont val="ＭＳ ゴシック"/>
        <family val="3"/>
        <charset val="128"/>
      </rPr>
      <t>⑥対象借入れの
残高（オペ１階）</t>
    </r>
    <r>
      <rPr>
        <sz val="16"/>
        <rFont val="ＭＳ ゴシック"/>
        <family val="3"/>
        <charset val="128"/>
      </rPr>
      <t xml:space="preserve">
</t>
    </r>
    <rPh sb="2" eb="6">
      <t>タイショウカリイレ</t>
    </rPh>
    <rPh sb="9" eb="11">
      <t>ザンダカ</t>
    </rPh>
    <rPh sb="15" eb="16">
      <t>カイ</t>
    </rPh>
    <phoneticPr fontId="1"/>
  </si>
  <si>
    <t>＜各シートへのリンク＞</t>
    <rPh sb="1" eb="2">
      <t>カク</t>
    </rPh>
    <phoneticPr fontId="1"/>
  </si>
  <si>
    <t xml:space="preserve">
</t>
    <phoneticPr fontId="1"/>
  </si>
  <si>
    <r>
      <t>⑧,⑨：</t>
    </r>
    <r>
      <rPr>
        <b/>
        <u/>
        <sz val="17"/>
        <rFont val="ＭＳ ゴシック"/>
        <family val="3"/>
        <charset val="128"/>
      </rPr>
      <t>全ての対象先が入力（毎積み期の更新は不要）</t>
    </r>
    <rPh sb="4" eb="5">
      <t>スベ</t>
    </rPh>
    <rPh sb="7" eb="9">
      <t>タイショウ</t>
    </rPh>
    <rPh sb="9" eb="10">
      <t>サキ</t>
    </rPh>
    <rPh sb="11" eb="13">
      <t>ニュウリョク</t>
    </rPh>
    <rPh sb="14" eb="15">
      <t>マイ</t>
    </rPh>
    <rPh sb="15" eb="16">
      <t>ツ</t>
    </rPh>
    <rPh sb="17" eb="18">
      <t>キ</t>
    </rPh>
    <rPh sb="19" eb="21">
      <t>コウシン</t>
    </rPh>
    <rPh sb="22" eb="24">
      <t>フヨウ</t>
    </rPh>
    <phoneticPr fontId="1"/>
  </si>
  <si>
    <t xml:space="preserve">⑧基準平均残高（年間積数） 　　  </t>
    <rPh sb="1" eb="3">
      <t>キジュン</t>
    </rPh>
    <rPh sb="3" eb="5">
      <t>ヘイキン</t>
    </rPh>
    <rPh sb="5" eb="7">
      <t>ザンダカ</t>
    </rPh>
    <rPh sb="8" eb="10">
      <t>ネンカン</t>
    </rPh>
    <rPh sb="10" eb="12">
      <t>セキスウ</t>
    </rPh>
    <phoneticPr fontId="1"/>
  </si>
  <si>
    <r>
      <t>⑨対象借入れの残高（</t>
    </r>
    <r>
      <rPr>
        <u/>
        <sz val="17"/>
        <color rgb="FFFF0000"/>
        <rFont val="ＭＳ ゴシック"/>
        <family val="3"/>
        <charset val="128"/>
      </rPr>
      <t>2016年3月末</t>
    </r>
    <r>
      <rPr>
        <sz val="17"/>
        <rFont val="ＭＳ ゴシック"/>
        <family val="3"/>
        <charset val="128"/>
      </rPr>
      <t>）</t>
    </r>
    <rPh sb="1" eb="5">
      <t>タイショウカリイレ</t>
    </rPh>
    <rPh sb="7" eb="9">
      <t>ザンダカ</t>
    </rPh>
    <phoneticPr fontId="1"/>
  </si>
  <si>
    <t xml:space="preserve">
⑦ ⑥のうち新型コロナ対応金融支援特別オペ（制度融資分）</t>
    <phoneticPr fontId="1"/>
  </si>
  <si>
    <t>マクロ加算残高枠（法定準備預金額を除く）</t>
    <rPh sb="3" eb="5">
      <t>カサン</t>
    </rPh>
    <rPh sb="5" eb="7">
      <t>ザンダカ</t>
    </rPh>
    <rPh sb="7" eb="8">
      <t>ワク</t>
    </rPh>
    <rPh sb="9" eb="16">
      <t>ホウテイジュンビヨキンガク</t>
    </rPh>
    <rPh sb="17" eb="18">
      <t>ノゾ</t>
    </rPh>
    <phoneticPr fontId="1"/>
  </si>
  <si>
    <r>
      <t>①～⑥：</t>
    </r>
    <r>
      <rPr>
        <b/>
        <u/>
        <sz val="17"/>
        <rFont val="ＭＳ ゴシック"/>
        <family val="3"/>
        <charset val="128"/>
      </rPr>
      <t>全ての対象先が入力（毎積み期の更新が必要）</t>
    </r>
    <rPh sb="4" eb="5">
      <t>スベ</t>
    </rPh>
    <rPh sb="7" eb="9">
      <t>タイショウ</t>
    </rPh>
    <rPh sb="9" eb="10">
      <t>サキ</t>
    </rPh>
    <rPh sb="11" eb="13">
      <t>ニュウリョク</t>
    </rPh>
    <rPh sb="14" eb="15">
      <t>マイ</t>
    </rPh>
    <rPh sb="15" eb="16">
      <t>ツ</t>
    </rPh>
    <rPh sb="17" eb="18">
      <t>キ</t>
    </rPh>
    <rPh sb="19" eb="21">
      <t>コウシン</t>
    </rPh>
    <rPh sb="22" eb="24">
      <t>ヒツヨウ</t>
    </rPh>
    <phoneticPr fontId="1"/>
  </si>
  <si>
    <r>
      <t>⑦,⑧：</t>
    </r>
    <r>
      <rPr>
        <b/>
        <u/>
        <sz val="17"/>
        <rFont val="ＭＳ ゴシック"/>
        <family val="3"/>
        <charset val="128"/>
      </rPr>
      <t>全ての対象先が入力（毎積み期の更新は不要）</t>
    </r>
    <rPh sb="4" eb="5">
      <t>スベ</t>
    </rPh>
    <rPh sb="7" eb="9">
      <t>タイショウ</t>
    </rPh>
    <rPh sb="9" eb="10">
      <t>サキ</t>
    </rPh>
    <rPh sb="11" eb="13">
      <t>ニュウリョク</t>
    </rPh>
    <rPh sb="14" eb="15">
      <t>マイ</t>
    </rPh>
    <rPh sb="15" eb="16">
      <t>ツ</t>
    </rPh>
    <rPh sb="17" eb="18">
      <t>キ</t>
    </rPh>
    <rPh sb="19" eb="21">
      <t>コウシン</t>
    </rPh>
    <rPh sb="22" eb="24">
      <t>フヨウ</t>
    </rPh>
    <phoneticPr fontId="1"/>
  </si>
  <si>
    <t xml:space="preserve">⑦基準平均残高（年間積数） 　　  </t>
    <rPh sb="1" eb="3">
      <t>キジュン</t>
    </rPh>
    <rPh sb="3" eb="5">
      <t>ヘイキン</t>
    </rPh>
    <rPh sb="5" eb="7">
      <t>ザンダカ</t>
    </rPh>
    <rPh sb="8" eb="10">
      <t>ネンカン</t>
    </rPh>
    <rPh sb="10" eb="12">
      <t>セキスウ</t>
    </rPh>
    <phoneticPr fontId="1"/>
  </si>
  <si>
    <r>
      <t>⑧対象借入れの残高（</t>
    </r>
    <r>
      <rPr>
        <u/>
        <sz val="17"/>
        <color rgb="FFFF0000"/>
        <rFont val="ＭＳ ゴシック"/>
        <family val="3"/>
        <charset val="128"/>
      </rPr>
      <t>2016年3月末</t>
    </r>
    <r>
      <rPr>
        <sz val="17"/>
        <rFont val="ＭＳ ゴシック"/>
        <family val="3"/>
        <charset val="128"/>
      </rPr>
      <t>）</t>
    </r>
    <rPh sb="1" eb="5">
      <t>タイショウカリイレ</t>
    </rPh>
    <rPh sb="7" eb="9">
      <t>ザンダカ</t>
    </rPh>
    <phoneticPr fontId="1"/>
  </si>
  <si>
    <r>
      <t>⑨～⑭：</t>
    </r>
    <r>
      <rPr>
        <b/>
        <u/>
        <sz val="17"/>
        <rFont val="ＭＳ ゴシック"/>
        <family val="3"/>
        <charset val="128"/>
      </rPr>
      <t>該当先のみ入力（非該当先は空欄とする）</t>
    </r>
    <rPh sb="4" eb="6">
      <t>ガイトウ</t>
    </rPh>
    <rPh sb="6" eb="7">
      <t>サキ</t>
    </rPh>
    <rPh sb="9" eb="11">
      <t>ニュウリョク</t>
    </rPh>
    <rPh sb="12" eb="13">
      <t>ヒ</t>
    </rPh>
    <rPh sb="13" eb="15">
      <t>ガイトウ</t>
    </rPh>
    <rPh sb="15" eb="16">
      <t>サキ</t>
    </rPh>
    <rPh sb="17" eb="19">
      <t>クウラン</t>
    </rPh>
    <phoneticPr fontId="1"/>
  </si>
  <si>
    <t>⑨日本銀行に報告する金額　</t>
    <rPh sb="1" eb="5">
      <t>ニホンギンコウ</t>
    </rPh>
    <rPh sb="6" eb="8">
      <t>ホウコク</t>
    </rPh>
    <rPh sb="10" eb="12">
      <t>キンガク</t>
    </rPh>
    <phoneticPr fontId="1"/>
  </si>
  <si>
    <t>⑩日本銀行が通知する金額　　　</t>
    <rPh sb="1" eb="5">
      <t>ニホンギンコウ</t>
    </rPh>
    <rPh sb="6" eb="8">
      <t>ツウチ</t>
    </rPh>
    <rPh sb="10" eb="12">
      <t>キンガク</t>
    </rPh>
    <phoneticPr fontId="1"/>
  </si>
  <si>
    <t>⑪みなし基準平均残高（年間積数）</t>
    <rPh sb="4" eb="6">
      <t>キジュン</t>
    </rPh>
    <rPh sb="6" eb="8">
      <t>ヘイキン</t>
    </rPh>
    <rPh sb="8" eb="10">
      <t>ザンダカ</t>
    </rPh>
    <rPh sb="11" eb="13">
      <t>ネンカン</t>
    </rPh>
    <rPh sb="13" eb="15">
      <t>セキスウ</t>
    </rPh>
    <phoneticPr fontId="1"/>
  </si>
  <si>
    <t>⑫みなし基準期間の日数　　　　　</t>
    <rPh sb="4" eb="6">
      <t>キジュン</t>
    </rPh>
    <rPh sb="6" eb="8">
      <t>キカン</t>
    </rPh>
    <rPh sb="9" eb="11">
      <t>ニッスウ</t>
    </rPh>
    <phoneticPr fontId="1"/>
  </si>
  <si>
    <t>オペ２階
（⑥－⑧）</t>
    <rPh sb="3" eb="4">
      <t>カイ</t>
    </rPh>
    <phoneticPr fontId="1"/>
  </si>
  <si>
    <t>⑬該当先は「○」を選択</t>
    <phoneticPr fontId="1"/>
  </si>
  <si>
    <t>⑭日本銀行への申出金額</t>
    <rPh sb="1" eb="5">
      <t>ニホンギンコウ</t>
    </rPh>
    <rPh sb="7" eb="9">
      <t>モウシデ</t>
    </rPh>
    <rPh sb="9" eb="11">
      <t>キンガク</t>
    </rPh>
    <phoneticPr fontId="1"/>
  </si>
  <si>
    <t>日間</t>
  </si>
  <si>
    <t>円</t>
  </si>
  <si>
    <t>％</t>
  </si>
  <si>
    <t>日間</t>
    <phoneticPr fontId="1"/>
  </si>
  <si>
    <t>円</t>
    <phoneticPr fontId="1"/>
  </si>
  <si>
    <t>％</t>
    <phoneticPr fontId="1"/>
  </si>
  <si>
    <r>
      <t>●「補完当座預金制度</t>
    </r>
    <r>
      <rPr>
        <b/>
        <sz val="16"/>
        <rFont val="ＭＳ Ｐゴシック"/>
        <family val="3"/>
        <charset val="128"/>
        <scheme val="major"/>
      </rPr>
      <t>における付利対象残高試算ツール」（以下「本ツール」といいます。）は、補完当座預金制度</t>
    </r>
    <r>
      <rPr>
        <b/>
        <sz val="16"/>
        <rFont val="ＭＳ Ｐゴシック"/>
        <family val="3"/>
        <charset val="128"/>
        <scheme val="major"/>
      </rPr>
      <t>の対象先において、付利対象残高を、適用利率別に、日次ベースおよび積数ベースで確認・試算できるようにするため、日本銀行が作成したものです。
●</t>
    </r>
    <r>
      <rPr>
        <b/>
        <sz val="16"/>
        <color rgb="FF0070C0"/>
        <rFont val="ＭＳ Ｐゴシック"/>
        <family val="3"/>
        <charset val="128"/>
        <scheme val="major"/>
      </rPr>
      <t>「入力シート</t>
    </r>
    <r>
      <rPr>
        <b/>
        <sz val="16"/>
        <color rgb="FF0070C0"/>
        <rFont val="ＭＳ Ｐゴシック"/>
        <family val="3"/>
        <charset val="128"/>
        <scheme val="major"/>
      </rPr>
      <t>」</t>
    </r>
    <r>
      <rPr>
        <b/>
        <sz val="16"/>
        <rFont val="ＭＳ Ｐゴシック"/>
        <family val="3"/>
        <charset val="128"/>
        <scheme val="major"/>
      </rPr>
      <t>の項目（①～</t>
    </r>
    <r>
      <rPr>
        <b/>
        <sz val="16"/>
        <rFont val="ＭＳ Ｐゴシック"/>
        <family val="3"/>
        <charset val="128"/>
        <scheme val="major"/>
      </rPr>
      <t>⑭）に数値を入力することで、確認・試算することができます</t>
    </r>
    <r>
      <rPr>
        <b/>
        <sz val="16"/>
        <rFont val="ＭＳ Ｐゴシック"/>
        <family val="3"/>
        <charset val="128"/>
        <scheme val="major"/>
      </rPr>
      <t>ので、ご活用ください。</t>
    </r>
    <r>
      <rPr>
        <b/>
        <sz val="16"/>
        <color theme="5"/>
        <rFont val="ＭＳ Ｐゴシック"/>
        <family val="3"/>
        <charset val="128"/>
        <scheme val="major"/>
      </rPr>
      <t xml:space="preserve">
</t>
    </r>
    <r>
      <rPr>
        <b/>
        <sz val="16"/>
        <rFont val="ＭＳ Ｐゴシック"/>
        <family val="3"/>
        <charset val="128"/>
        <scheme val="major"/>
      </rPr>
      <t xml:space="preserve">
●入力にあたっては、下記のリンクより、</t>
    </r>
    <r>
      <rPr>
        <b/>
        <sz val="16"/>
        <color rgb="FFFF0000"/>
        <rFont val="ＭＳ Ｐゴシック"/>
        <family val="3"/>
        <charset val="128"/>
        <scheme val="major"/>
      </rPr>
      <t>「</t>
    </r>
    <r>
      <rPr>
        <b/>
        <sz val="16"/>
        <color rgb="FFFF0000"/>
        <rFont val="ＭＳ Ｐゴシック"/>
        <family val="3"/>
        <charset val="128"/>
        <scheme val="major"/>
      </rPr>
      <t>入力ポイント（よくあるミス等）」</t>
    </r>
    <r>
      <rPr>
        <b/>
        <sz val="16"/>
        <rFont val="ＭＳ Ｐゴシック"/>
        <family val="3"/>
        <charset val="128"/>
        <scheme val="major"/>
      </rPr>
      <t>をご一読ください。また、用途に応じて、「入力例１」および「入力例２」もご参照ください。
●本ツールで用いる用語の定義は、</t>
    </r>
    <r>
      <rPr>
        <b/>
        <sz val="16"/>
        <rFont val="ＭＳ Ｐゴシック"/>
        <family val="3"/>
        <charset val="128"/>
        <scheme val="major"/>
      </rPr>
      <t>「補完当座預金制度に関する細則」によります（各シートでは「細則」と記載しています）。また、本ツールによる計算過程の詳細については、日本銀行ホームページの「業務上の事務連絡」に掲載している「（参考）補完当座預金制度における預り金利息の計算について」</t>
    </r>
    <r>
      <rPr>
        <b/>
        <sz val="16"/>
        <rFont val="ＭＳ Ｐゴシック"/>
        <family val="3"/>
        <charset val="128"/>
        <scheme val="major"/>
      </rPr>
      <t xml:space="preserve">をご参照ください。
</t>
    </r>
    <rPh sb="187" eb="189">
      <t>カキ</t>
    </rPh>
    <rPh sb="225" eb="227">
      <t>ヨウト</t>
    </rPh>
    <rPh sb="228" eb="229">
      <t>オウ</t>
    </rPh>
    <rPh sb="296" eb="297">
      <t>カク</t>
    </rPh>
    <rPh sb="303" eb="305">
      <t>サイソク</t>
    </rPh>
    <rPh sb="307" eb="309">
      <t>キサイ</t>
    </rPh>
    <phoneticPr fontId="1"/>
  </si>
  <si>
    <t>補完当座預金制度における付利対象残高試算ツール（2023年7月積み期間～）</t>
    <phoneticPr fontId="1"/>
  </si>
  <si>
    <t>補完当座預金制度における付利対象残高試算ツール（2023年7月積み期間～）</t>
    <rPh sb="0" eb="2">
      <t>ホカン</t>
    </rPh>
    <rPh sb="2" eb="4">
      <t>トウザ</t>
    </rPh>
    <rPh sb="4" eb="6">
      <t>ヨキン</t>
    </rPh>
    <rPh sb="6" eb="8">
      <t>セイド</t>
    </rPh>
    <rPh sb="12" eb="14">
      <t>フリ</t>
    </rPh>
    <rPh sb="14" eb="16">
      <t>タイショウ</t>
    </rPh>
    <rPh sb="16" eb="18">
      <t>ザンダカ</t>
    </rPh>
    <rPh sb="18" eb="20">
      <t>シサン</t>
    </rPh>
    <rPh sb="28" eb="29">
      <t>ネン</t>
    </rPh>
    <rPh sb="30" eb="31">
      <t>ガツ</t>
    </rPh>
    <rPh sb="31" eb="32">
      <t>ツ</t>
    </rPh>
    <rPh sb="33" eb="35">
      <t>キカン</t>
    </rPh>
    <phoneticPr fontId="1"/>
  </si>
  <si>
    <t>　電話番号：03-3277-2805</t>
    <rPh sb="1" eb="5">
      <t>デンワバンゴウ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</si>
</sst>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.0;&quot;▲ &quot;#,##0.0"/>
    <numFmt numFmtId="178" formatCode="#,##0_ "/>
    <numFmt numFmtId="179" formatCode="0_);[Red]\(0\)"/>
    <numFmt numFmtId="180" formatCode="0.0_);[Red]\(0.0\)"/>
  </numFmts>
  <fonts count="42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2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36"/>
      <name val="ＭＳ ゴシック"/>
      <family val="3"/>
      <charset val="128"/>
    </font>
    <font>
      <sz val="17"/>
      <name val="ＭＳ ゴシック"/>
      <family val="3"/>
      <charset val="128"/>
    </font>
    <font>
      <sz val="17"/>
      <color theme="1"/>
      <name val="ＭＳ ゴシック"/>
      <family val="3"/>
      <charset val="128"/>
    </font>
    <font>
      <b/>
      <sz val="17"/>
      <name val="ＭＳ ゴシック"/>
      <family val="3"/>
      <charset val="128"/>
    </font>
    <font>
      <b/>
      <u/>
      <sz val="17"/>
      <name val="ＭＳ ゴシック"/>
      <family val="3"/>
      <charset val="128"/>
    </font>
    <font>
      <sz val="17"/>
      <color rgb="FFFF0000"/>
      <name val="ＭＳ ゴシック"/>
      <family val="3"/>
      <charset val="128"/>
    </font>
    <font>
      <b/>
      <sz val="17"/>
      <color rgb="FFFF0000"/>
      <name val="ＭＳ ゴシック"/>
      <family val="3"/>
      <charset val="128"/>
    </font>
    <font>
      <b/>
      <sz val="17"/>
      <color indexed="10"/>
      <name val="ＭＳ ゴシック"/>
      <family val="3"/>
      <charset val="128"/>
    </font>
    <font>
      <sz val="17"/>
      <color indexed="1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36"/>
      <color rgb="FFFF0000"/>
      <name val="ＭＳ ゴシック"/>
      <family val="3"/>
      <charset val="128"/>
    </font>
    <font>
      <u/>
      <sz val="17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b/>
      <sz val="16"/>
      <color rgb="FF0070C0"/>
      <name val="ＭＳ Ｐゴシック"/>
      <family val="3"/>
      <charset val="128"/>
      <scheme val="major"/>
    </font>
    <font>
      <b/>
      <sz val="16"/>
      <color theme="5"/>
      <name val="ＭＳ Ｐゴシック"/>
      <family val="3"/>
      <charset val="128"/>
      <scheme val="major"/>
    </font>
    <font>
      <sz val="18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8" fillId="0" borderId="0" xfId="0" applyFont="1" applyProtection="1">
      <alignment vertical="center"/>
      <protection hidden="1"/>
    </xf>
    <xf numFmtId="176" fontId="8" fillId="0" borderId="0" xfId="0" applyNumberFormat="1" applyFont="1" applyAlignment="1" applyProtection="1">
      <alignment horizontal="right" vertical="center" shrinkToFit="1"/>
      <protection hidden="1"/>
    </xf>
    <xf numFmtId="176" fontId="8" fillId="0" borderId="0" xfId="0" applyNumberFormat="1" applyFont="1" applyProtection="1">
      <alignment vertical="center"/>
      <protection hidden="1"/>
    </xf>
    <xf numFmtId="0" fontId="8" fillId="0" borderId="0" xfId="0" applyFont="1" applyFill="1" applyBorder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76" fontId="8" fillId="0" borderId="5" xfId="1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Border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3" fillId="0" borderId="4" xfId="0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Fill="1" applyBorder="1" applyProtection="1">
      <alignment vertical="center"/>
      <protection hidden="1"/>
    </xf>
    <xf numFmtId="0" fontId="8" fillId="0" borderId="8" xfId="0" applyFont="1" applyFill="1" applyBorder="1" applyProtection="1">
      <alignment vertical="center"/>
      <protection hidden="1"/>
    </xf>
    <xf numFmtId="177" fontId="8" fillId="0" borderId="0" xfId="0" applyNumberFormat="1" applyFont="1" applyProtection="1">
      <alignment vertical="center"/>
      <protection hidden="1"/>
    </xf>
    <xf numFmtId="176" fontId="8" fillId="0" borderId="4" xfId="1" applyNumberFormat="1" applyFont="1" applyFill="1" applyBorder="1" applyAlignment="1" applyProtection="1">
      <alignment horizontal="right" vertical="center" shrinkToFit="1"/>
      <protection hidden="1"/>
    </xf>
    <xf numFmtId="176" fontId="8" fillId="0" borderId="9" xfId="1" applyNumberFormat="1" applyFont="1" applyFill="1" applyBorder="1" applyAlignment="1" applyProtection="1">
      <alignment horizontal="right" vertical="center" shrinkToFit="1"/>
      <protection hidden="1"/>
    </xf>
    <xf numFmtId="176" fontId="8" fillId="0" borderId="0" xfId="1" applyNumberFormat="1" applyFont="1" applyFill="1" applyBorder="1" applyAlignment="1" applyProtection="1">
      <alignment horizontal="right" vertical="center" shrinkToFit="1"/>
      <protection hidden="1"/>
    </xf>
    <xf numFmtId="176" fontId="10" fillId="0" borderId="0" xfId="1" applyNumberFormat="1" applyFont="1" applyFill="1" applyBorder="1" applyAlignment="1" applyProtection="1">
      <alignment horizontal="right" vertical="center" shrinkToFit="1"/>
      <protection hidden="1"/>
    </xf>
    <xf numFmtId="176" fontId="8" fillId="0" borderId="0" xfId="0" applyNumberFormat="1" applyFont="1" applyFill="1" applyBorder="1" applyProtection="1">
      <alignment vertical="center"/>
      <protection hidden="1"/>
    </xf>
    <xf numFmtId="0" fontId="9" fillId="0" borderId="10" xfId="0" applyFont="1" applyBorder="1" applyAlignment="1" applyProtection="1">
      <alignment vertical="center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shrinkToFit="1"/>
      <protection hidden="1"/>
    </xf>
    <xf numFmtId="0" fontId="9" fillId="0" borderId="10" xfId="0" applyFont="1" applyBorder="1" applyAlignment="1" applyProtection="1">
      <alignment horizontal="center" vertical="center" wrapText="1" shrinkToFit="1"/>
      <protection hidden="1"/>
    </xf>
    <xf numFmtId="0" fontId="9" fillId="0" borderId="0" xfId="0" applyFont="1" applyBorder="1" applyAlignment="1" applyProtection="1">
      <alignment vertical="center" wrapText="1" shrinkToFit="1"/>
      <protection hidden="1"/>
    </xf>
    <xf numFmtId="176" fontId="8" fillId="0" borderId="9" xfId="0" applyNumberFormat="1" applyFont="1" applyBorder="1" applyAlignment="1" applyProtection="1">
      <alignment horizontal="right" vertical="center" shrinkToFit="1"/>
      <protection hidden="1"/>
    </xf>
    <xf numFmtId="176" fontId="8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0" xfId="0" applyFont="1" applyFill="1" applyBorder="1" applyAlignment="1" applyProtection="1">
      <alignment shrinkToFit="1"/>
      <protection hidden="1"/>
    </xf>
    <xf numFmtId="0" fontId="9" fillId="0" borderId="0" xfId="0" applyFont="1" applyFill="1" applyProtection="1">
      <alignment vertical="center"/>
      <protection hidden="1"/>
    </xf>
    <xf numFmtId="0" fontId="9" fillId="0" borderId="0" xfId="0" applyFont="1" applyFill="1" applyBorder="1" applyAlignment="1" applyProtection="1">
      <alignment wrapText="1" shrinkToFi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0" xfId="0" applyFont="1" applyFill="1" applyBorder="1" applyProtection="1">
      <alignment vertical="center"/>
      <protection hidden="1"/>
    </xf>
    <xf numFmtId="0" fontId="12" fillId="0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3" fillId="3" borderId="0" xfId="0" applyFont="1" applyFill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5" fillId="5" borderId="0" xfId="0" applyFont="1" applyFill="1" applyAlignment="1" applyProtection="1">
      <alignment horizontal="left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8" fillId="0" borderId="7" xfId="0" applyFont="1" applyFill="1" applyBorder="1" applyProtection="1">
      <alignment vertical="center"/>
      <protection hidden="1"/>
    </xf>
    <xf numFmtId="0" fontId="8" fillId="0" borderId="6" xfId="0" applyFont="1" applyFill="1" applyBorder="1" applyProtection="1">
      <alignment vertical="center"/>
      <protection hidden="1"/>
    </xf>
    <xf numFmtId="0" fontId="8" fillId="0" borderId="20" xfId="0" applyFont="1" applyBorder="1" applyProtection="1">
      <alignment vertical="center"/>
      <protection hidden="1"/>
    </xf>
    <xf numFmtId="0" fontId="8" fillId="0" borderId="22" xfId="0" applyFont="1" applyFill="1" applyBorder="1" applyProtection="1">
      <alignment vertical="center"/>
      <protection hidden="1"/>
    </xf>
    <xf numFmtId="0" fontId="8" fillId="0" borderId="23" xfId="0" applyFont="1" applyBorder="1" applyProtection="1">
      <alignment vertical="center"/>
      <protection hidden="1"/>
    </xf>
    <xf numFmtId="0" fontId="8" fillId="0" borderId="24" xfId="0" applyFont="1" applyFill="1" applyBorder="1" applyProtection="1">
      <alignment vertical="center"/>
      <protection hidden="1"/>
    </xf>
    <xf numFmtId="0" fontId="9" fillId="0" borderId="24" xfId="0" applyFont="1" applyFill="1" applyBorder="1" applyAlignment="1" applyProtection="1">
      <alignment horizontal="center" vertical="center" wrapText="1" shrinkToFit="1"/>
      <protection hidden="1"/>
    </xf>
    <xf numFmtId="176" fontId="8" fillId="0" borderId="23" xfId="0" applyNumberFormat="1" applyFont="1" applyBorder="1" applyAlignment="1" applyProtection="1">
      <alignment horizontal="right" vertical="center" shrinkToFit="1"/>
      <protection hidden="1"/>
    </xf>
    <xf numFmtId="0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24" xfId="0" applyNumberFormat="1" applyFont="1" applyFill="1" applyBorder="1" applyAlignment="1" applyProtection="1">
      <alignment horizontal="right" vertical="center" shrinkToFit="1"/>
      <protection hidden="1"/>
    </xf>
    <xf numFmtId="176" fontId="8" fillId="0" borderId="25" xfId="0" applyNumberFormat="1" applyFont="1" applyBorder="1" applyAlignment="1" applyProtection="1">
      <alignment horizontal="right" vertical="center" shrinkToFit="1"/>
      <protection hidden="1"/>
    </xf>
    <xf numFmtId="0" fontId="8" fillId="0" borderId="26" xfId="0" applyFont="1" applyBorder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wrapText="1" shrinkToFit="1"/>
      <protection hidden="1"/>
    </xf>
    <xf numFmtId="178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14" fillId="0" borderId="0" xfId="0" applyNumberFormat="1" applyFont="1" applyFill="1" applyBorder="1" applyAlignment="1" applyProtection="1">
      <alignment vertical="center" shrinkToFit="1"/>
      <protection locked="0"/>
    </xf>
    <xf numFmtId="0" fontId="16" fillId="0" borderId="23" xfId="0" applyFont="1" applyBorder="1" applyAlignment="1" applyProtection="1">
      <alignment horizontal="center" vertical="center"/>
      <protection hidden="1"/>
    </xf>
    <xf numFmtId="0" fontId="3" fillId="3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3" borderId="0" xfId="0" applyFont="1" applyFill="1" applyAlignment="1" applyProtection="1">
      <alignment horizontal="left" vertical="center"/>
      <protection hidden="1"/>
    </xf>
    <xf numFmtId="0" fontId="21" fillId="4" borderId="0" xfId="0" applyFont="1" applyFill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20" fillId="0" borderId="0" xfId="0" applyFont="1" applyProtection="1">
      <alignment vertical="center"/>
      <protection hidden="1"/>
    </xf>
    <xf numFmtId="0" fontId="20" fillId="0" borderId="1" xfId="0" applyFont="1" applyBorder="1" applyAlignment="1" applyProtection="1">
      <alignment horizontal="right" vertical="center" shrinkToFit="1"/>
      <protection hidden="1"/>
    </xf>
    <xf numFmtId="0" fontId="20" fillId="0" borderId="3" xfId="0" applyFont="1" applyBorder="1" applyAlignment="1" applyProtection="1">
      <alignment horizontal="right" vertical="center" shrinkToFit="1"/>
      <protection hidden="1"/>
    </xf>
    <xf numFmtId="0" fontId="20" fillId="0" borderId="5" xfId="0" applyFont="1" applyFill="1" applyBorder="1" applyAlignment="1" applyProtection="1">
      <alignment horizontal="right" vertical="center" shrinkToFit="1"/>
      <protection hidden="1"/>
    </xf>
    <xf numFmtId="0" fontId="20" fillId="0" borderId="2" xfId="0" applyFont="1" applyFill="1" applyBorder="1" applyAlignment="1" applyProtection="1">
      <alignment horizontal="center" vertical="center" wrapText="1" shrinkToFit="1"/>
      <protection hidden="1"/>
    </xf>
    <xf numFmtId="0" fontId="20" fillId="0" borderId="9" xfId="0" applyFont="1" applyBorder="1" applyProtection="1">
      <alignment vertical="center"/>
      <protection hidden="1"/>
    </xf>
    <xf numFmtId="176" fontId="20" fillId="0" borderId="9" xfId="0" applyNumberFormat="1" applyFont="1" applyBorder="1" applyAlignment="1" applyProtection="1">
      <alignment horizontal="right" vertical="center" shrinkToFit="1"/>
      <protection hidden="1"/>
    </xf>
    <xf numFmtId="176" fontId="20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27" xfId="0" applyFont="1" applyFill="1" applyBorder="1" applyProtection="1">
      <alignment vertical="center"/>
      <protection hidden="1"/>
    </xf>
    <xf numFmtId="0" fontId="3" fillId="5" borderId="0" xfId="0" applyFont="1" applyFill="1" applyProtection="1">
      <alignment vertical="center"/>
      <protection hidden="1"/>
    </xf>
    <xf numFmtId="176" fontId="8" fillId="2" borderId="2" xfId="0" applyNumberFormat="1" applyFont="1" applyFill="1" applyBorder="1" applyAlignment="1" applyProtection="1">
      <alignment vertical="center" shrinkToFit="1"/>
      <protection hidden="1"/>
    </xf>
    <xf numFmtId="0" fontId="3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Border="1" applyProtection="1">
      <alignment vertical="center"/>
      <protection hidden="1"/>
    </xf>
    <xf numFmtId="179" fontId="12" fillId="3" borderId="16" xfId="0" applyNumberFormat="1" applyFont="1" applyFill="1" applyBorder="1" applyAlignment="1" applyProtection="1">
      <alignment horizontal="right" vertical="center" shrinkToFit="1"/>
      <protection locked="0"/>
    </xf>
    <xf numFmtId="38" fontId="12" fillId="3" borderId="17" xfId="1" applyFont="1" applyFill="1" applyBorder="1" applyAlignment="1" applyProtection="1">
      <alignment horizontal="right" vertical="center" shrinkToFit="1"/>
      <protection locked="0"/>
    </xf>
    <xf numFmtId="180" fontId="12" fillId="3" borderId="17" xfId="0" applyNumberFormat="1" applyFont="1" applyFill="1" applyBorder="1" applyAlignment="1" applyProtection="1">
      <alignment horizontal="right" vertical="center" shrinkToFit="1"/>
      <protection locked="0"/>
    </xf>
    <xf numFmtId="38" fontId="12" fillId="3" borderId="16" xfId="1" applyFont="1" applyFill="1" applyBorder="1" applyAlignment="1" applyProtection="1">
      <alignment horizontal="right" vertical="center" shrinkToFit="1"/>
      <protection locked="0"/>
    </xf>
    <xf numFmtId="38" fontId="12" fillId="3" borderId="18" xfId="1" applyFont="1" applyFill="1" applyBorder="1" applyAlignment="1" applyProtection="1">
      <alignment horizontal="right" vertical="center" shrinkToFit="1"/>
      <protection locked="0"/>
    </xf>
    <xf numFmtId="38" fontId="12" fillId="4" borderId="16" xfId="1" applyFont="1" applyFill="1" applyBorder="1" applyAlignment="1" applyProtection="1">
      <alignment vertical="center" shrinkToFit="1"/>
      <protection locked="0"/>
    </xf>
    <xf numFmtId="38" fontId="12" fillId="4" borderId="18" xfId="1" applyFont="1" applyFill="1" applyBorder="1" applyAlignment="1" applyProtection="1">
      <alignment vertical="center" shrinkToFit="1"/>
      <protection locked="0"/>
    </xf>
    <xf numFmtId="38" fontId="12" fillId="2" borderId="10" xfId="1" applyFont="1" applyFill="1" applyBorder="1" applyAlignment="1" applyProtection="1">
      <alignment horizontal="right" vertical="center" shrinkToFit="1"/>
      <protection hidden="1"/>
    </xf>
    <xf numFmtId="38" fontId="12" fillId="2" borderId="2" xfId="1" applyFont="1" applyFill="1" applyBorder="1" applyAlignment="1" applyProtection="1">
      <alignment horizontal="right" vertical="center" shrinkToFit="1"/>
      <protection hidden="1"/>
    </xf>
    <xf numFmtId="38" fontId="12" fillId="5" borderId="19" xfId="1" applyFont="1" applyFill="1" applyBorder="1" applyAlignment="1" applyProtection="1">
      <alignment horizontal="right" vertical="center" shrinkToFit="1"/>
      <protection locked="0"/>
    </xf>
    <xf numFmtId="38" fontId="12" fillId="5" borderId="16" xfId="1" applyFont="1" applyFill="1" applyBorder="1" applyAlignment="1" applyProtection="1">
      <alignment horizontal="right" vertical="center" shrinkToFit="1"/>
      <protection locked="0"/>
    </xf>
    <xf numFmtId="38" fontId="12" fillId="5" borderId="18" xfId="1" applyFont="1" applyFill="1" applyBorder="1" applyAlignment="1" applyProtection="1">
      <alignment horizontal="right" vertical="center" shrinkToFit="1"/>
      <protection locked="0"/>
    </xf>
    <xf numFmtId="38" fontId="12" fillId="2" borderId="1" xfId="1" applyFont="1" applyFill="1" applyBorder="1" applyAlignment="1" applyProtection="1">
      <alignment horizontal="right" vertical="center" shrinkToFit="1"/>
      <protection hidden="1"/>
    </xf>
    <xf numFmtId="38" fontId="12" fillId="0" borderId="0" xfId="1" applyFont="1" applyFill="1" applyBorder="1" applyAlignment="1" applyProtection="1">
      <alignment horizontal="right" vertical="center" shrinkToFit="1"/>
      <protection locked="0"/>
    </xf>
    <xf numFmtId="0" fontId="12" fillId="5" borderId="19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2" xfId="1" applyNumberFormat="1" applyFont="1" applyFill="1" applyBorder="1" applyAlignment="1" applyProtection="1">
      <alignment horizontal="right" vertical="center" shrinkToFit="1"/>
      <protection hidden="1"/>
    </xf>
    <xf numFmtId="176" fontId="11" fillId="2" borderId="2" xfId="1" applyNumberFormat="1" applyFont="1" applyFill="1" applyBorder="1" applyAlignment="1" applyProtection="1">
      <alignment horizontal="right" vertical="center" shrinkToFit="1"/>
      <protection hidden="1"/>
    </xf>
    <xf numFmtId="38" fontId="27" fillId="2" borderId="2" xfId="1" applyFont="1" applyFill="1" applyBorder="1" applyAlignment="1" applyProtection="1">
      <alignment horizontal="right" vertical="center" shrinkToFit="1"/>
      <protection hidden="1"/>
    </xf>
    <xf numFmtId="176" fontId="9" fillId="0" borderId="5" xfId="1" applyNumberFormat="1" applyFont="1" applyFill="1" applyBorder="1" applyAlignment="1" applyProtection="1">
      <alignment horizontal="right" vertical="center" shrinkToFit="1"/>
      <protection hidden="1"/>
    </xf>
    <xf numFmtId="176" fontId="27" fillId="2" borderId="2" xfId="1" applyNumberFormat="1" applyFont="1" applyFill="1" applyBorder="1" applyAlignment="1" applyProtection="1">
      <alignment horizontal="right" vertical="center" shrinkToFit="1"/>
      <protection hidden="1"/>
    </xf>
    <xf numFmtId="38" fontId="12" fillId="6" borderId="2" xfId="1" applyFont="1" applyFill="1" applyBorder="1" applyAlignment="1" applyProtection="1">
      <alignment horizontal="right" vertical="center" shrinkToFit="1"/>
      <protection hidden="1"/>
    </xf>
    <xf numFmtId="176" fontId="8" fillId="6" borderId="2" xfId="1" applyNumberFormat="1" applyFont="1" applyFill="1" applyBorder="1" applyAlignment="1" applyProtection="1">
      <alignment horizontal="right" vertical="center" shrinkToFit="1"/>
      <protection hidden="1"/>
    </xf>
    <xf numFmtId="176" fontId="8" fillId="0" borderId="0" xfId="0" applyNumberFormat="1" applyFont="1" applyFill="1" applyProtection="1">
      <alignment vertical="center"/>
      <protection hidden="1"/>
    </xf>
    <xf numFmtId="38" fontId="11" fillId="2" borderId="2" xfId="1" applyFont="1" applyFill="1" applyBorder="1" applyAlignment="1" applyProtection="1">
      <alignment horizontal="right" vertical="center" shrinkToFit="1"/>
      <protection hidden="1"/>
    </xf>
    <xf numFmtId="176" fontId="12" fillId="6" borderId="30" xfId="1" applyNumberFormat="1" applyFont="1" applyFill="1" applyBorder="1" applyAlignment="1" applyProtection="1">
      <alignment horizontal="right" vertical="center" shrinkToFit="1"/>
      <protection hidden="1"/>
    </xf>
    <xf numFmtId="176" fontId="11" fillId="6" borderId="3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77" fontId="12" fillId="3" borderId="18" xfId="0" applyNumberFormat="1" applyFont="1" applyFill="1" applyBorder="1" applyAlignment="1" applyProtection="1">
      <alignment horizontal="right" vertical="center" shrinkToFit="1"/>
      <protection locked="0"/>
    </xf>
    <xf numFmtId="176" fontId="12" fillId="6" borderId="32" xfId="1" applyNumberFormat="1" applyFont="1" applyFill="1" applyBorder="1" applyAlignment="1" applyProtection="1">
      <alignment horizontal="right" vertical="center" shrinkToFit="1"/>
      <protection hidden="1"/>
    </xf>
    <xf numFmtId="176" fontId="12" fillId="6" borderId="2" xfId="1" applyNumberFormat="1" applyFont="1" applyFill="1" applyBorder="1" applyAlignment="1" applyProtection="1">
      <alignment horizontal="right" vertical="center" shrinkToFit="1"/>
      <protection hidden="1"/>
    </xf>
    <xf numFmtId="176" fontId="11" fillId="6" borderId="2" xfId="1" applyNumberFormat="1" applyFont="1" applyFill="1" applyBorder="1" applyAlignment="1" applyProtection="1">
      <alignment horizontal="right" vertical="center" shrinkToFit="1"/>
      <protection hidden="1"/>
    </xf>
    <xf numFmtId="0" fontId="8" fillId="0" borderId="7" xfId="0" applyFont="1" applyFill="1" applyBorder="1" applyAlignment="1" applyProtection="1">
      <alignment vertical="center" wrapText="1"/>
      <protection hidden="1"/>
    </xf>
    <xf numFmtId="179" fontId="12" fillId="3" borderId="16" xfId="0" applyNumberFormat="1" applyFont="1" applyFill="1" applyBorder="1" applyAlignment="1" applyProtection="1">
      <alignment horizontal="right" vertical="center" shrinkToFit="1"/>
      <protection hidden="1"/>
    </xf>
    <xf numFmtId="176" fontId="14" fillId="0" borderId="0" xfId="0" applyNumberFormat="1" applyFont="1" applyFill="1" applyBorder="1" applyAlignment="1" applyProtection="1">
      <alignment vertical="center" shrinkToFit="1"/>
      <protection hidden="1"/>
    </xf>
    <xf numFmtId="38" fontId="12" fillId="4" borderId="16" xfId="1" applyFont="1" applyFill="1" applyBorder="1" applyAlignment="1" applyProtection="1">
      <alignment vertical="center" shrinkToFit="1"/>
      <protection hidden="1"/>
    </xf>
    <xf numFmtId="38" fontId="12" fillId="3" borderId="17" xfId="1" applyFont="1" applyFill="1" applyBorder="1" applyAlignment="1" applyProtection="1">
      <alignment horizontal="right" vertical="center" shrinkToFit="1"/>
      <protection hidden="1"/>
    </xf>
    <xf numFmtId="38" fontId="12" fillId="4" borderId="18" xfId="1" applyFont="1" applyFill="1" applyBorder="1" applyAlignment="1" applyProtection="1">
      <alignment vertical="center" shrinkToFit="1"/>
      <protection hidden="1"/>
    </xf>
    <xf numFmtId="38" fontId="12" fillId="5" borderId="19" xfId="1" applyFont="1" applyFill="1" applyBorder="1" applyAlignment="1" applyProtection="1">
      <alignment horizontal="right" vertical="center" shrinkToFit="1"/>
      <protection hidden="1"/>
    </xf>
    <xf numFmtId="0" fontId="12" fillId="5" borderId="19" xfId="0" applyNumberFormat="1" applyFont="1" applyFill="1" applyBorder="1" applyAlignment="1" applyProtection="1">
      <alignment horizontal="center" vertical="center" shrinkToFit="1"/>
      <protection hidden="1"/>
    </xf>
    <xf numFmtId="180" fontId="12" fillId="3" borderId="17" xfId="0" applyNumberFormat="1" applyFont="1" applyFill="1" applyBorder="1" applyAlignment="1" applyProtection="1">
      <alignment horizontal="right" vertical="center" shrinkToFit="1"/>
      <protection hidden="1"/>
    </xf>
    <xf numFmtId="177" fontId="12" fillId="3" borderId="18" xfId="0" applyNumberFormat="1" applyFont="1" applyFill="1" applyBorder="1" applyAlignment="1" applyProtection="1">
      <alignment horizontal="right" vertical="center" shrinkToFit="1"/>
      <protection hidden="1"/>
    </xf>
    <xf numFmtId="178" fontId="12" fillId="0" borderId="0" xfId="0" applyNumberFormat="1" applyFont="1" applyFill="1" applyBorder="1" applyAlignment="1" applyProtection="1">
      <alignment horizontal="right" vertical="center" shrinkToFit="1"/>
      <protection hidden="1"/>
    </xf>
    <xf numFmtId="38" fontId="12" fillId="5" borderId="16" xfId="1" applyFont="1" applyFill="1" applyBorder="1" applyAlignment="1" applyProtection="1">
      <alignment horizontal="right" vertical="center" shrinkToFit="1"/>
      <protection hidden="1"/>
    </xf>
    <xf numFmtId="38" fontId="12" fillId="5" borderId="18" xfId="1" applyFont="1" applyFill="1" applyBorder="1" applyAlignment="1" applyProtection="1">
      <alignment horizontal="right" vertical="center" shrinkToFit="1"/>
      <protection hidden="1"/>
    </xf>
    <xf numFmtId="38" fontId="12" fillId="0" borderId="0" xfId="1" applyFont="1" applyFill="1" applyBorder="1" applyAlignment="1" applyProtection="1">
      <alignment horizontal="right" vertical="center" shrinkToFit="1"/>
      <protection hidden="1"/>
    </xf>
    <xf numFmtId="38" fontId="12" fillId="3" borderId="16" xfId="1" applyFont="1" applyFill="1" applyBorder="1" applyAlignment="1" applyProtection="1">
      <alignment horizontal="right" vertical="center" shrinkToFit="1"/>
      <protection hidden="1"/>
    </xf>
    <xf numFmtId="38" fontId="12" fillId="3" borderId="18" xfId="1" applyFont="1" applyFill="1" applyBorder="1" applyAlignment="1" applyProtection="1">
      <alignment horizontal="right" vertical="center" shrinkToFit="1"/>
      <protection hidden="1"/>
    </xf>
    <xf numFmtId="176" fontId="12" fillId="0" borderId="0" xfId="0" applyNumberFormat="1" applyFont="1" applyProtection="1">
      <alignment vertical="center"/>
      <protection hidden="1"/>
    </xf>
    <xf numFmtId="38" fontId="12" fillId="0" borderId="0" xfId="1" applyFont="1" applyAlignment="1" applyProtection="1">
      <alignment vertical="center" shrinkToFit="1"/>
      <protection hidden="1"/>
    </xf>
    <xf numFmtId="0" fontId="4" fillId="7" borderId="0" xfId="0" applyFont="1" applyFill="1" applyProtection="1">
      <alignment vertical="center"/>
      <protection hidden="1"/>
    </xf>
    <xf numFmtId="0" fontId="5" fillId="7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0" fontId="38" fillId="7" borderId="0" xfId="0" applyFont="1" applyFill="1" applyProtection="1">
      <alignment vertical="center"/>
      <protection hidden="1"/>
    </xf>
    <xf numFmtId="0" fontId="34" fillId="7" borderId="0" xfId="0" applyFont="1" applyFill="1" applyProtection="1">
      <alignment vertical="center"/>
      <protection hidden="1"/>
    </xf>
    <xf numFmtId="0" fontId="4" fillId="7" borderId="0" xfId="0" applyFont="1" applyFill="1" applyBorder="1" applyProtection="1">
      <alignment vertical="center"/>
      <protection hidden="1"/>
    </xf>
    <xf numFmtId="0" fontId="27" fillId="7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left" vertical="center"/>
      <protection hidden="1"/>
    </xf>
    <xf numFmtId="0" fontId="15" fillId="7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6" fillId="7" borderId="0" xfId="0" applyFont="1" applyFill="1" applyProtection="1">
      <alignment vertical="center"/>
      <protection hidden="1"/>
    </xf>
    <xf numFmtId="0" fontId="33" fillId="7" borderId="0" xfId="0" applyFont="1" applyFill="1" applyProtection="1">
      <alignment vertical="center"/>
      <protection hidden="1"/>
    </xf>
    <xf numFmtId="0" fontId="32" fillId="7" borderId="0" xfId="0" applyFont="1" applyFill="1" applyProtection="1">
      <alignment vertical="center"/>
      <protection hidden="1"/>
    </xf>
    <xf numFmtId="0" fontId="35" fillId="7" borderId="33" xfId="0" applyFont="1" applyFill="1" applyBorder="1" applyAlignment="1" applyProtection="1">
      <alignment horizontal="left" vertical="center" wrapText="1"/>
      <protection hidden="1"/>
    </xf>
    <xf numFmtId="0" fontId="35" fillId="7" borderId="34" xfId="0" applyFont="1" applyFill="1" applyBorder="1" applyAlignment="1" applyProtection="1">
      <alignment horizontal="left" vertical="center" wrapText="1"/>
      <protection hidden="1"/>
    </xf>
    <xf numFmtId="0" fontId="35" fillId="7" borderId="35" xfId="0" applyFont="1" applyFill="1" applyBorder="1" applyAlignment="1" applyProtection="1">
      <alignment horizontal="left" vertical="center" wrapText="1"/>
      <protection hidden="1"/>
    </xf>
    <xf numFmtId="0" fontId="35" fillId="7" borderId="36" xfId="0" applyFont="1" applyFill="1" applyBorder="1" applyAlignment="1" applyProtection="1">
      <alignment horizontal="left" vertical="center" wrapText="1"/>
      <protection hidden="1"/>
    </xf>
    <xf numFmtId="0" fontId="35" fillId="7" borderId="0" xfId="0" applyFont="1" applyFill="1" applyBorder="1" applyAlignment="1" applyProtection="1">
      <alignment horizontal="left" vertical="center" wrapText="1"/>
      <protection hidden="1"/>
    </xf>
    <xf numFmtId="0" fontId="35" fillId="7" borderId="37" xfId="0" applyFont="1" applyFill="1" applyBorder="1" applyAlignment="1" applyProtection="1">
      <alignment horizontal="left" vertical="center" wrapText="1"/>
      <protection hidden="1"/>
    </xf>
    <xf numFmtId="0" fontId="35" fillId="7" borderId="38" xfId="0" applyFont="1" applyFill="1" applyBorder="1" applyAlignment="1" applyProtection="1">
      <alignment horizontal="left" vertical="center" wrapText="1"/>
      <protection hidden="1"/>
    </xf>
    <xf numFmtId="0" fontId="35" fillId="7" borderId="39" xfId="0" applyFont="1" applyFill="1" applyBorder="1" applyAlignment="1" applyProtection="1">
      <alignment horizontal="left" vertical="center" wrapText="1"/>
      <protection hidden="1"/>
    </xf>
    <xf numFmtId="0" fontId="35" fillId="7" borderId="40" xfId="0" applyFont="1" applyFill="1" applyBorder="1" applyAlignment="1" applyProtection="1">
      <alignment horizontal="left" vertical="center" wrapText="1"/>
      <protection hidden="1"/>
    </xf>
    <xf numFmtId="0" fontId="37" fillId="7" borderId="0" xfId="0" applyFont="1" applyFill="1" applyAlignment="1" applyProtection="1">
      <alignment horizontal="center" vertical="center"/>
      <protection hidden="1"/>
    </xf>
    <xf numFmtId="0" fontId="41" fillId="7" borderId="0" xfId="0" applyFont="1" applyFill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8" fillId="2" borderId="2" xfId="0" applyFont="1" applyFill="1" applyBorder="1" applyAlignment="1" applyProtection="1">
      <alignment horizontal="center" vertical="center"/>
      <protection hidden="1"/>
    </xf>
    <xf numFmtId="0" fontId="19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20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9" fillId="0" borderId="3" xfId="0" applyNumberFormat="1" applyFont="1" applyFill="1" applyBorder="1" applyAlignment="1" applyProtection="1">
      <alignment horizontal="left" vertical="center" wrapText="1" shrinkToFit="1"/>
      <protection hidden="1"/>
    </xf>
    <xf numFmtId="0" fontId="19" fillId="0" borderId="5" xfId="0" applyNumberFormat="1" applyFont="1" applyFill="1" applyBorder="1" applyAlignment="1" applyProtection="1">
      <alignment horizontal="left" vertical="center" wrapText="1" shrinkToFit="1"/>
      <protection hidden="1"/>
    </xf>
    <xf numFmtId="0" fontId="19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19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176" fontId="31" fillId="2" borderId="28" xfId="0" applyNumberFormat="1" applyFont="1" applyFill="1" applyBorder="1" applyAlignment="1" applyProtection="1">
      <alignment horizontal="right" vertical="center" shrinkToFit="1"/>
      <protection hidden="1"/>
    </xf>
    <xf numFmtId="176" fontId="31" fillId="2" borderId="29" xfId="0" applyNumberFormat="1" applyFont="1" applyFill="1" applyBorder="1" applyAlignment="1" applyProtection="1">
      <alignment horizontal="right" vertical="center" shrinkToFit="1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9" fillId="0" borderId="3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5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10" xfId="0" applyNumberFormat="1" applyFont="1" applyFill="1" applyBorder="1" applyAlignment="1" applyProtection="1">
      <alignment horizontal="left" vertical="center" wrapText="1"/>
      <protection hidden="1"/>
    </xf>
    <xf numFmtId="176" fontId="30" fillId="2" borderId="28" xfId="0" applyNumberFormat="1" applyFont="1" applyFill="1" applyBorder="1" applyAlignment="1" applyProtection="1">
      <alignment horizontal="right" vertical="center" shrinkToFit="1"/>
      <protection hidden="1"/>
    </xf>
    <xf numFmtId="176" fontId="30" fillId="2" borderId="29" xfId="0" applyNumberFormat="1" applyFont="1" applyFill="1" applyBorder="1" applyAlignment="1" applyProtection="1">
      <alignment horizontal="right" vertical="center" shrinkToFit="1"/>
      <protection hidden="1"/>
    </xf>
    <xf numFmtId="0" fontId="3" fillId="6" borderId="12" xfId="0" applyFont="1" applyFill="1" applyBorder="1" applyAlignment="1" applyProtection="1">
      <alignment horizontal="center" vertical="center" wrapText="1" shrinkToFit="1"/>
      <protection hidden="1"/>
    </xf>
    <xf numFmtId="0" fontId="3" fillId="6" borderId="13" xfId="0" applyFont="1" applyFill="1" applyBorder="1" applyAlignment="1" applyProtection="1">
      <alignment horizontal="center" vertical="center" wrapText="1" shrinkToFi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left" vertical="center" wrapText="1"/>
      <protection hidden="1"/>
    </xf>
    <xf numFmtId="0" fontId="20" fillId="0" borderId="5" xfId="0" applyFont="1" applyBorder="1" applyAlignment="1" applyProtection="1">
      <alignment horizontal="left" vertical="center" wrapText="1"/>
      <protection hidden="1"/>
    </xf>
    <xf numFmtId="0" fontId="20" fillId="0" borderId="9" xfId="0" applyFont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3" fillId="6" borderId="14" xfId="0" applyFont="1" applyFill="1" applyBorder="1" applyAlignment="1" applyProtection="1">
      <alignment horizontal="center" vertical="center" wrapText="1"/>
      <protection hidden="1"/>
    </xf>
    <xf numFmtId="0" fontId="3" fillId="6" borderId="15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 shrinkToFit="1"/>
      <protection hidden="1"/>
    </xf>
    <xf numFmtId="0" fontId="19" fillId="0" borderId="2" xfId="0" applyFont="1" applyFill="1" applyBorder="1" applyAlignment="1" applyProtection="1">
      <alignment horizontal="center" vertical="center" shrinkToFit="1"/>
      <protection hidden="1"/>
    </xf>
    <xf numFmtId="0" fontId="19" fillId="0" borderId="12" xfId="0" applyFont="1" applyFill="1" applyBorder="1" applyAlignment="1" applyProtection="1">
      <alignment horizontal="center" vertical="center" shrinkToFit="1"/>
      <protection hidden="1"/>
    </xf>
    <xf numFmtId="0" fontId="23" fillId="0" borderId="3" xfId="0" applyFont="1" applyFill="1" applyBorder="1" applyAlignment="1" applyProtection="1">
      <alignment horizontal="center" vertical="center" wrapText="1"/>
      <protection hidden="1"/>
    </xf>
    <xf numFmtId="0" fontId="19" fillId="0" borderId="9" xfId="0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 shrinkToFit="1"/>
      <protection hidden="1"/>
    </xf>
    <xf numFmtId="0" fontId="19" fillId="0" borderId="9" xfId="0" applyFont="1" applyFill="1" applyBorder="1" applyAlignment="1" applyProtection="1">
      <alignment horizontal="center" vertical="center" wrapText="1" shrinkToFit="1"/>
      <protection hidden="1"/>
    </xf>
    <xf numFmtId="0" fontId="19" fillId="0" borderId="11" xfId="0" applyFont="1" applyFill="1" applyBorder="1" applyAlignment="1" applyProtection="1">
      <alignment horizontal="center" vertical="center" wrapText="1" shrinkToFi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0" borderId="13" xfId="0" applyFont="1" applyFill="1" applyBorder="1" applyAlignment="1" applyProtection="1">
      <alignment horizontal="center" vertical="center" wrapText="1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0837;&#21147;&#20363;&#65298;&#65288;&#31309;&#12415;&#26399;&#38291;&#12398;&#36884;&#20013;&#12395;&#12362;&#12369;&#12427;&#30906;&#35469;&#65289;'!A1"/><Relationship Id="rId2" Type="http://schemas.openxmlformats.org/officeDocument/2006/relationships/hyperlink" Target="#'&#20837;&#21147;&#20363;&#65297;&#65288;&#31309;&#12415;&#26399;&#38291;&#12398;&#32066;&#20102;&#24460;&#12398;&#30906;&#35469;&#65289;'!A1"/><Relationship Id="rId1" Type="http://schemas.openxmlformats.org/officeDocument/2006/relationships/hyperlink" Target="#'&#20837;&#21147;&#12509;&#12452;&#12531;&#12488;&#65288;&#12424;&#12367;&#12354;&#12427;&#12511;&#12473;&#31561;&#65289;'!A1"/><Relationship Id="rId4" Type="http://schemas.openxmlformats.org/officeDocument/2006/relationships/hyperlink" Target="#&#20837;&#21147;&#12471;&#12540;&#12488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14603</xdr:colOff>
      <xdr:row>29</xdr:row>
      <xdr:rowOff>205714</xdr:rowOff>
    </xdr:from>
    <xdr:to>
      <xdr:col>8</xdr:col>
      <xdr:colOff>290828</xdr:colOff>
      <xdr:row>31</xdr:row>
      <xdr:rowOff>234784</xdr:rowOff>
    </xdr:to>
    <xdr:sp macro="" textlink="">
      <xdr:nvSpPr>
        <xdr:cNvPr id="4" name="角丸四角形 3">
          <a:hlinkClick xmlns:r="http://schemas.openxmlformats.org/officeDocument/2006/relationships" r:id="rId1"/>
        </xdr:cNvPr>
        <xdr:cNvSpPr/>
      </xdr:nvSpPr>
      <xdr:spPr>
        <a:xfrm>
          <a:off x="2218960" y="6614678"/>
          <a:ext cx="3950154" cy="73664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入力ポイント（よくあるミス等）</a:t>
          </a:r>
        </a:p>
      </xdr:txBody>
    </xdr:sp>
    <xdr:clientData/>
  </xdr:twoCellAnchor>
  <xdr:twoCellAnchor>
    <xdr:from>
      <xdr:col>3</xdr:col>
      <xdr:colOff>11263</xdr:colOff>
      <xdr:row>34</xdr:row>
      <xdr:rowOff>327189</xdr:rowOff>
    </xdr:from>
    <xdr:to>
      <xdr:col>8</xdr:col>
      <xdr:colOff>297013</xdr:colOff>
      <xdr:row>36</xdr:row>
      <xdr:rowOff>317664</xdr:rowOff>
    </xdr:to>
    <xdr:sp macro="" textlink="">
      <xdr:nvSpPr>
        <xdr:cNvPr id="9" name="角丸四角形 8">
          <a:hlinkClick xmlns:r="http://schemas.openxmlformats.org/officeDocument/2006/relationships" r:id="rId2"/>
        </xdr:cNvPr>
        <xdr:cNvSpPr/>
      </xdr:nvSpPr>
      <xdr:spPr>
        <a:xfrm>
          <a:off x="2215620" y="8505082"/>
          <a:ext cx="3959679" cy="698046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入力例１（積み期間の終了後の確認）</a:t>
          </a:r>
        </a:p>
      </xdr:txBody>
    </xdr:sp>
    <xdr:clientData/>
  </xdr:twoCellAnchor>
  <xdr:twoCellAnchor>
    <xdr:from>
      <xdr:col>3</xdr:col>
      <xdr:colOff>11264</xdr:colOff>
      <xdr:row>37</xdr:row>
      <xdr:rowOff>159698</xdr:rowOff>
    </xdr:from>
    <xdr:to>
      <xdr:col>8</xdr:col>
      <xdr:colOff>297013</xdr:colOff>
      <xdr:row>39</xdr:row>
      <xdr:rowOff>171822</xdr:rowOff>
    </xdr:to>
    <xdr:sp macro="" textlink="">
      <xdr:nvSpPr>
        <xdr:cNvPr id="11" name="角丸四角形 10">
          <a:hlinkClick xmlns:r="http://schemas.openxmlformats.org/officeDocument/2006/relationships" r:id="rId3"/>
        </xdr:cNvPr>
        <xdr:cNvSpPr/>
      </xdr:nvSpPr>
      <xdr:spPr>
        <a:xfrm>
          <a:off x="2215621" y="9398948"/>
          <a:ext cx="3959678" cy="71969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入力例２（積み期間の途中における確認）</a:t>
          </a:r>
        </a:p>
      </xdr:txBody>
    </xdr:sp>
    <xdr:clientData/>
  </xdr:twoCellAnchor>
  <xdr:twoCellAnchor>
    <xdr:from>
      <xdr:col>3</xdr:col>
      <xdr:colOff>1367</xdr:colOff>
      <xdr:row>32</xdr:row>
      <xdr:rowOff>110219</xdr:rowOff>
    </xdr:from>
    <xdr:to>
      <xdr:col>8</xdr:col>
      <xdr:colOff>287117</xdr:colOff>
      <xdr:row>34</xdr:row>
      <xdr:rowOff>131865</xdr:rowOff>
    </xdr:to>
    <xdr:sp macro="" textlink="">
      <xdr:nvSpPr>
        <xdr:cNvPr id="13" name="角丸四角形 12">
          <a:hlinkClick xmlns:r="http://schemas.openxmlformats.org/officeDocument/2006/relationships" r:id="rId4"/>
        </xdr:cNvPr>
        <xdr:cNvSpPr/>
      </xdr:nvSpPr>
      <xdr:spPr>
        <a:xfrm>
          <a:off x="2205724" y="7580540"/>
          <a:ext cx="3959679" cy="729218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入力シート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242455</xdr:colOff>
      <xdr:row>0</xdr:row>
      <xdr:rowOff>588819</xdr:rowOff>
    </xdr:from>
    <xdr:to>
      <xdr:col>15</xdr:col>
      <xdr:colOff>1368136</xdr:colOff>
      <xdr:row>10</xdr:row>
      <xdr:rowOff>304614</xdr:rowOff>
    </xdr:to>
    <xdr:sp macro="" textlink="">
      <xdr:nvSpPr>
        <xdr:cNvPr id="17" name="角丸四角形 16"/>
        <xdr:cNvSpPr/>
      </xdr:nvSpPr>
      <xdr:spPr>
        <a:xfrm>
          <a:off x="4554682" y="588819"/>
          <a:ext cx="6806045" cy="2902340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536864</xdr:colOff>
      <xdr:row>1</xdr:row>
      <xdr:rowOff>51953</xdr:rowOff>
    </xdr:from>
    <xdr:to>
      <xdr:col>15</xdr:col>
      <xdr:colOff>1298863</xdr:colOff>
      <xdr:row>10</xdr:row>
      <xdr:rowOff>350382</xdr:rowOff>
    </xdr:to>
    <xdr:sp macro="" textlink="">
      <xdr:nvSpPr>
        <xdr:cNvPr id="18" name="テキスト ボックス 17"/>
        <xdr:cNvSpPr txBox="1"/>
      </xdr:nvSpPr>
      <xdr:spPr>
        <a:xfrm>
          <a:off x="4849091" y="675408"/>
          <a:ext cx="6442363" cy="2861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「②</a:t>
          </a:r>
          <a:r>
            <a:rPr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法定準備預金額</a:t>
          </a:r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は、準備預金制度に関する法律（以下「法」といいます。）第２条第２項に規定する金額を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endParaRPr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「指定勘定および日本銀行に対する預け金の状況に関する報告書」において</a:t>
          </a:r>
          <a:r>
            <a:rPr lang="ja-JP" altLang="ja-JP" sz="16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「所要準備額」としてご報告して頂く金額と同じ</a:t>
          </a:r>
          <a:r>
            <a: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endParaRPr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法第２条第１項に規定する</a:t>
          </a:r>
          <a:r>
            <a:rPr lang="ja-JP" altLang="ja-JP" sz="16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「指定金融機関」でない先は、「０」を入力</a:t>
          </a:r>
          <a:r>
            <a: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pPr>
            <a:lnSpc>
              <a:spcPts val="1400"/>
            </a:lnSpc>
          </a:pP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380999</xdr:colOff>
      <xdr:row>3</xdr:row>
      <xdr:rowOff>26905</xdr:rowOff>
    </xdr:from>
    <xdr:to>
      <xdr:col>4</xdr:col>
      <xdr:colOff>830035</xdr:colOff>
      <xdr:row>4</xdr:row>
      <xdr:rowOff>59686</xdr:rowOff>
    </xdr:to>
    <xdr:sp macro="" textlink="">
      <xdr:nvSpPr>
        <xdr:cNvPr id="19" name="右矢印 18"/>
        <xdr:cNvSpPr/>
      </xdr:nvSpPr>
      <xdr:spPr>
        <a:xfrm rot="10800000">
          <a:off x="4693226" y="1239178"/>
          <a:ext cx="449036" cy="292553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164381</xdr:colOff>
      <xdr:row>11</xdr:row>
      <xdr:rowOff>24773</xdr:rowOff>
    </xdr:from>
    <xdr:to>
      <xdr:col>15</xdr:col>
      <xdr:colOff>1083482</xdr:colOff>
      <xdr:row>18</xdr:row>
      <xdr:rowOff>128125</xdr:rowOff>
    </xdr:to>
    <xdr:sp macro="" textlink="">
      <xdr:nvSpPr>
        <xdr:cNvPr id="20" name="角丸四角形 19"/>
        <xdr:cNvSpPr/>
      </xdr:nvSpPr>
      <xdr:spPr>
        <a:xfrm>
          <a:off x="6277699" y="3575000"/>
          <a:ext cx="6599465" cy="2718398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300204</xdr:colOff>
      <xdr:row>11</xdr:row>
      <xdr:rowOff>25144</xdr:rowOff>
    </xdr:from>
    <xdr:to>
      <xdr:col>15</xdr:col>
      <xdr:colOff>717078</xdr:colOff>
      <xdr:row>17</xdr:row>
      <xdr:rowOff>301305</xdr:rowOff>
    </xdr:to>
    <xdr:sp macro="" textlink="">
      <xdr:nvSpPr>
        <xdr:cNvPr id="21" name="テキスト ボックス 20"/>
        <xdr:cNvSpPr txBox="1"/>
      </xdr:nvSpPr>
      <xdr:spPr>
        <a:xfrm>
          <a:off x="6413522" y="3488780"/>
          <a:ext cx="6097238" cy="24928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「③基準比率」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および</a:t>
          </a:r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「④加算比率」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付利対象積み期間ごとに見直しを行うことがありますので、</a:t>
          </a:r>
          <a:r>
            <a:rPr lang="ja-JP" altLang="en-US" sz="16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試算を行う期間に対応した計数を入力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見直しは、</a:t>
          </a:r>
          <a:r>
            <a:rPr lang="ja-JP" altLang="en-US" sz="16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日本銀行のホームページ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においてお知らせしています。</a:t>
          </a:r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solidFill>
              <a:sysClr val="windowText" lastClr="000000"/>
            </a:solidFill>
            <a:effectLst/>
          </a:endParaRPr>
        </a:p>
        <a:p>
          <a:pPr>
            <a:lnSpc>
              <a:spcPts val="1400"/>
            </a:lnSpc>
          </a:pP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「③基準比率」</a:t>
          </a: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が「０」でない場合には、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「④加算比率」</a:t>
          </a: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には「１００」を入力してください。</a:t>
          </a:r>
        </a:p>
      </xdr:txBody>
    </xdr:sp>
    <xdr:clientData/>
  </xdr:twoCellAnchor>
  <xdr:twoCellAnchor>
    <xdr:from>
      <xdr:col>3</xdr:col>
      <xdr:colOff>1348896</xdr:colOff>
      <xdr:row>5</xdr:row>
      <xdr:rowOff>161014</xdr:rowOff>
    </xdr:from>
    <xdr:to>
      <xdr:col>3</xdr:col>
      <xdr:colOff>1704612</xdr:colOff>
      <xdr:row>12</xdr:row>
      <xdr:rowOff>156518</xdr:rowOff>
    </xdr:to>
    <xdr:sp macro="" textlink="">
      <xdr:nvSpPr>
        <xdr:cNvPr id="22" name="右矢印 21"/>
        <xdr:cNvSpPr/>
      </xdr:nvSpPr>
      <xdr:spPr>
        <a:xfrm rot="14122793">
          <a:off x="3018365" y="2821090"/>
          <a:ext cx="2039050" cy="355716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60861</xdr:colOff>
      <xdr:row>19</xdr:row>
      <xdr:rowOff>279787</xdr:rowOff>
    </xdr:from>
    <xdr:to>
      <xdr:col>17</xdr:col>
      <xdr:colOff>1089436</xdr:colOff>
      <xdr:row>29</xdr:row>
      <xdr:rowOff>155862</xdr:rowOff>
    </xdr:to>
    <xdr:sp macro="" textlink="">
      <xdr:nvSpPr>
        <xdr:cNvPr id="23" name="角丸四角形 22"/>
        <xdr:cNvSpPr/>
      </xdr:nvSpPr>
      <xdr:spPr>
        <a:xfrm>
          <a:off x="6174179" y="6756787"/>
          <a:ext cx="8787121" cy="3859257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224453</xdr:colOff>
      <xdr:row>19</xdr:row>
      <xdr:rowOff>111247</xdr:rowOff>
    </xdr:from>
    <xdr:to>
      <xdr:col>17</xdr:col>
      <xdr:colOff>898935</xdr:colOff>
      <xdr:row>30</xdr:row>
      <xdr:rowOff>93929</xdr:rowOff>
    </xdr:to>
    <xdr:sp macro="" textlink="">
      <xdr:nvSpPr>
        <xdr:cNvPr id="24" name="テキスト ボックス 23"/>
        <xdr:cNvSpPr txBox="1"/>
      </xdr:nvSpPr>
      <xdr:spPr>
        <a:xfrm>
          <a:off x="6337771" y="6588247"/>
          <a:ext cx="8433028" cy="43641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「⑥対象借入れの残高（オペ１階）」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には</a:t>
          </a:r>
          <a:r>
            <a:rPr lang="ja-JP" altLang="ja-JP" sz="16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6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成長基盤強化支援資金供給、貸出増加支援資金供給、被災地金融機関支援オペ、気候変動対応オペの残高を入力してください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については、「日本銀行金融ネットワークシステム利用細則（入札型電子貸付（共通担保資金供給オペレーション）関係事務）」所定の操作手順（</a:t>
          </a:r>
          <a:r>
            <a:rPr lang="ja-JP" altLang="en-US" sz="16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業務処理区分「借入明細」、コード５３４２０２</a:t>
          </a:r>
          <a:r>
            <a:rPr lang="ja-JP" altLang="en-US" sz="16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）により、</a:t>
          </a:r>
          <a:r>
            <a:rPr lang="ja-JP" altLang="en-US" sz="16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日銀ネットから照会データファイルを取得し、確認することができます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ただし、データを取得可能な期間は、照会日の属する月の前月第１営業日以降に限られますので、ご留意ください。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>
            <a:lnSpc>
              <a:spcPts val="1400"/>
            </a:lnSpc>
          </a:pPr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667157</xdr:colOff>
      <xdr:row>13</xdr:row>
      <xdr:rowOff>242145</xdr:rowOff>
    </xdr:from>
    <xdr:to>
      <xdr:col>4</xdr:col>
      <xdr:colOff>1068922</xdr:colOff>
      <xdr:row>21</xdr:row>
      <xdr:rowOff>131023</xdr:rowOff>
    </xdr:to>
    <xdr:sp macro="" textlink="">
      <xdr:nvSpPr>
        <xdr:cNvPr id="25" name="右矢印 24"/>
        <xdr:cNvSpPr/>
      </xdr:nvSpPr>
      <xdr:spPr>
        <a:xfrm rot="13792633">
          <a:off x="3668532" y="5692042"/>
          <a:ext cx="3023469" cy="40176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606135</xdr:colOff>
      <xdr:row>36</xdr:row>
      <xdr:rowOff>34266</xdr:rowOff>
    </xdr:from>
    <xdr:to>
      <xdr:col>21</xdr:col>
      <xdr:colOff>1237</xdr:colOff>
      <xdr:row>42</xdr:row>
      <xdr:rowOff>0</xdr:rowOff>
    </xdr:to>
    <xdr:sp macro="" textlink="">
      <xdr:nvSpPr>
        <xdr:cNvPr id="29" name="角丸四角形 28"/>
        <xdr:cNvSpPr/>
      </xdr:nvSpPr>
      <xdr:spPr>
        <a:xfrm>
          <a:off x="14477999" y="13282675"/>
          <a:ext cx="6599465" cy="2355643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776594</xdr:colOff>
      <xdr:row>36</xdr:row>
      <xdr:rowOff>0</xdr:rowOff>
    </xdr:from>
    <xdr:to>
      <xdr:col>20</xdr:col>
      <xdr:colOff>1593272</xdr:colOff>
      <xdr:row>42</xdr:row>
      <xdr:rowOff>86591</xdr:rowOff>
    </xdr:to>
    <xdr:sp macro="" textlink="">
      <xdr:nvSpPr>
        <xdr:cNvPr id="30" name="テキスト ボックス 29"/>
        <xdr:cNvSpPr txBox="1"/>
      </xdr:nvSpPr>
      <xdr:spPr>
        <a:xfrm>
          <a:off x="14648458" y="13248409"/>
          <a:ext cx="6219950" cy="2476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6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T-4</a:t>
          </a:r>
          <a:r>
            <a:rPr lang="ja-JP" altLang="en-US" sz="16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、</a:t>
          </a:r>
          <a:r>
            <a:rPr lang="en-US" altLang="ja-JP" sz="16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T-3</a:t>
          </a:r>
          <a:r>
            <a:rPr lang="ja-JP" altLang="en-US" sz="16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、</a:t>
          </a:r>
          <a:r>
            <a:rPr lang="en-US" altLang="ja-JP" sz="16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T-2</a:t>
          </a:r>
          <a:r>
            <a:rPr lang="ja-JP" altLang="en-US" sz="16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積み期間</a:t>
          </a:r>
          <a:r>
            <a:rPr lang="ja-JP" altLang="en-US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の試算</a:t>
          </a:r>
          <a:r>
            <a:rPr lang="ja-JP" altLang="en-US" sz="160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の全て</a:t>
          </a:r>
          <a:r>
            <a:rPr lang="ja-JP" altLang="en-US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において「</a:t>
          </a:r>
          <a:r>
            <a:rPr lang="ja-JP" altLang="en-US" sz="16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○</a:t>
          </a:r>
          <a:r>
            <a:rPr lang="ja-JP" altLang="en-US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」が表示された先は、</a:t>
          </a:r>
          <a:r>
            <a:rPr lang="en-US" altLang="ja-JP" sz="16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T</a:t>
          </a:r>
          <a:r>
            <a:rPr lang="ja-JP" altLang="en-US" sz="16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積み期間</a:t>
          </a:r>
          <a:r>
            <a:rPr lang="ja-JP" altLang="en-US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の試算において</a:t>
          </a:r>
          <a:r>
            <a:rPr lang="ja-JP" altLang="en-US" sz="16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⑬</a:t>
          </a:r>
          <a:r>
            <a:rPr lang="ja-JP" altLang="en-US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に「</a:t>
          </a:r>
          <a:r>
            <a:rPr lang="ja-JP" altLang="en-US" sz="16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○</a:t>
          </a:r>
          <a:r>
            <a:rPr lang="ja-JP" altLang="en-US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」を選択してください。</a:t>
          </a:r>
        </a:p>
        <a:p>
          <a:endParaRPr lang="en-US" altLang="ja-JP" sz="1600">
            <a:solidFill>
              <a:schemeClr val="tx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en-US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例えば、</a:t>
          </a:r>
          <a:r>
            <a:rPr lang="en-US" altLang="ja-JP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2021</a:t>
          </a:r>
          <a:r>
            <a:rPr lang="ja-JP" altLang="en-US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年</a:t>
          </a:r>
          <a:r>
            <a:rPr lang="en-US" altLang="ja-JP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4</a:t>
          </a:r>
          <a:r>
            <a:rPr lang="ja-JP" altLang="en-US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月、</a:t>
          </a:r>
          <a:r>
            <a:rPr lang="en-US" altLang="ja-JP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5</a:t>
          </a:r>
          <a:r>
            <a:rPr lang="ja-JP" altLang="en-US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月、</a:t>
          </a:r>
          <a:r>
            <a:rPr lang="en-US" altLang="ja-JP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6</a:t>
          </a:r>
          <a:r>
            <a:rPr lang="ja-JP" altLang="en-US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月積み期間の試算</a:t>
          </a:r>
          <a:r>
            <a:rPr lang="ja-JP" altLang="en-US" sz="160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の全て</a:t>
          </a:r>
          <a:r>
            <a:rPr lang="ja-JP" altLang="en-US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において「○」が表示された先は、</a:t>
          </a:r>
          <a:r>
            <a:rPr lang="en-US" altLang="ja-JP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8</a:t>
          </a:r>
          <a:r>
            <a:rPr lang="ja-JP" altLang="en-US" sz="16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月積み期間の試算において、⑬に「○」を選択してください。</a:t>
          </a:r>
          <a:endParaRPr lang="en-US" altLang="ja-JP" sz="1600">
            <a:solidFill>
              <a:schemeClr val="tx1"/>
            </a:solidFill>
            <a:effectLst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20</xdr:col>
      <xdr:colOff>1662544</xdr:colOff>
      <xdr:row>37</xdr:row>
      <xdr:rowOff>207818</xdr:rowOff>
    </xdr:from>
    <xdr:to>
      <xdr:col>22</xdr:col>
      <xdr:colOff>197055</xdr:colOff>
      <xdr:row>38</xdr:row>
      <xdr:rowOff>102053</xdr:rowOff>
    </xdr:to>
    <xdr:sp macro="" textlink="">
      <xdr:nvSpPr>
        <xdr:cNvPr id="31" name="右矢印 30"/>
        <xdr:cNvSpPr/>
      </xdr:nvSpPr>
      <xdr:spPr>
        <a:xfrm>
          <a:off x="20937680" y="13854545"/>
          <a:ext cx="439511" cy="292553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155864</xdr:colOff>
      <xdr:row>15</xdr:row>
      <xdr:rowOff>17317</xdr:rowOff>
    </xdr:from>
    <xdr:to>
      <xdr:col>27</xdr:col>
      <xdr:colOff>165086</xdr:colOff>
      <xdr:row>23</xdr:row>
      <xdr:rowOff>17317</xdr:rowOff>
    </xdr:to>
    <xdr:sp macro="" textlink="">
      <xdr:nvSpPr>
        <xdr:cNvPr id="32" name="角丸四角形 31"/>
        <xdr:cNvSpPr/>
      </xdr:nvSpPr>
      <xdr:spPr>
        <a:xfrm>
          <a:off x="21336000" y="4901044"/>
          <a:ext cx="5118086" cy="3186546"/>
        </a:xfrm>
        <a:prstGeom prst="roundRect">
          <a:avLst/>
        </a:prstGeom>
        <a:noFill/>
        <a:ln w="381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121228</xdr:colOff>
      <xdr:row>25</xdr:row>
      <xdr:rowOff>58142</xdr:rowOff>
    </xdr:from>
    <xdr:to>
      <xdr:col>27</xdr:col>
      <xdr:colOff>203489</xdr:colOff>
      <xdr:row>35</xdr:row>
      <xdr:rowOff>222664</xdr:rowOff>
    </xdr:to>
    <xdr:sp macro="" textlink="">
      <xdr:nvSpPr>
        <xdr:cNvPr id="33" name="角丸四角形 32"/>
        <xdr:cNvSpPr/>
      </xdr:nvSpPr>
      <xdr:spPr>
        <a:xfrm>
          <a:off x="21301364" y="8925051"/>
          <a:ext cx="5191125" cy="4147704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66797</xdr:colOff>
      <xdr:row>25</xdr:row>
      <xdr:rowOff>219570</xdr:rowOff>
    </xdr:from>
    <xdr:to>
      <xdr:col>28</xdr:col>
      <xdr:colOff>17069</xdr:colOff>
      <xdr:row>35</xdr:row>
      <xdr:rowOff>268432</xdr:rowOff>
    </xdr:to>
    <xdr:sp macro="" textlink="">
      <xdr:nvSpPr>
        <xdr:cNvPr id="34" name="テキスト ボックス 33"/>
        <xdr:cNvSpPr txBox="1"/>
      </xdr:nvSpPr>
      <xdr:spPr>
        <a:xfrm>
          <a:off x="21662570" y="9086479"/>
          <a:ext cx="4937908" cy="4032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600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預り金利息の金額は、次のとおり算出してください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。</a:t>
          </a:r>
          <a:endParaRPr lang="en-US" altLang="ja-JP" sz="16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lang="en-US" altLang="ja-JP" sz="16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利息＝　細則４．（１）に定める金額に対する利息（Ａ）</a:t>
          </a:r>
          <a:endParaRPr lang="en-US" altLang="ja-JP" sz="16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　　＋細則４．（２）に定める金額に対する利息（Ｂ）</a:t>
          </a:r>
          <a:endParaRPr lang="en-US" altLang="ja-JP" sz="16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　　＋細則４．（３）に定める金額に対する利息（Ｃ）</a:t>
          </a:r>
          <a:endParaRPr lang="en-US" altLang="ja-JP" sz="16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　　＋細則４．（４）に定める金額に対する利息（Ｄ）</a:t>
          </a:r>
          <a:endParaRPr lang="en-US" altLang="ja-JP" sz="1600" strike="sngStrike" baseline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lang="en-US" altLang="ja-JP" sz="16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Ａ　＝　  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細則４．（１）に定める金額（積数）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　　　　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×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細則４．（１）に定める利率（％）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　　　　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÷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１００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　　　　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÷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３６５（円位未満切捨）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6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en-US" altLang="ja-JP" sz="1600">
              <a:solidFill>
                <a:sysClr val="windowText" lastClr="000000"/>
              </a:solidFill>
              <a:latin typeface="+mn-ea"/>
              <a:ea typeface="+mn-ea"/>
            </a:rPr>
            <a:t>―</a:t>
          </a: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　ＢからＤまでについても同様に算出してください。</a:t>
          </a:r>
          <a:endParaRPr kumimoji="1" lang="en-US" altLang="ja-JP" sz="16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1139287</xdr:colOff>
      <xdr:row>23</xdr:row>
      <xdr:rowOff>190500</xdr:rowOff>
    </xdr:from>
    <xdr:to>
      <xdr:col>25</xdr:col>
      <xdr:colOff>1429677</xdr:colOff>
      <xdr:row>25</xdr:row>
      <xdr:rowOff>280494</xdr:rowOff>
    </xdr:to>
    <xdr:sp macro="" textlink="">
      <xdr:nvSpPr>
        <xdr:cNvPr id="35" name="右矢印 34"/>
        <xdr:cNvSpPr/>
      </xdr:nvSpPr>
      <xdr:spPr>
        <a:xfrm rot="16200000">
          <a:off x="23406758" y="8558893"/>
          <a:ext cx="886630" cy="29039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618451</xdr:colOff>
      <xdr:row>6</xdr:row>
      <xdr:rowOff>261745</xdr:rowOff>
    </xdr:from>
    <xdr:to>
      <xdr:col>27</xdr:col>
      <xdr:colOff>204052</xdr:colOff>
      <xdr:row>10</xdr:row>
      <xdr:rowOff>197644</xdr:rowOff>
    </xdr:to>
    <xdr:sp macro="" textlink="">
      <xdr:nvSpPr>
        <xdr:cNvPr id="36" name="角丸四角形 35"/>
        <xdr:cNvSpPr/>
      </xdr:nvSpPr>
      <xdr:spPr>
        <a:xfrm>
          <a:off x="19893587" y="2253336"/>
          <a:ext cx="6599465" cy="1044263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826269</xdr:colOff>
      <xdr:row>6</xdr:row>
      <xdr:rowOff>209787</xdr:rowOff>
    </xdr:from>
    <xdr:to>
      <xdr:col>27</xdr:col>
      <xdr:colOff>3655</xdr:colOff>
      <xdr:row>11</xdr:row>
      <xdr:rowOff>19289</xdr:rowOff>
    </xdr:to>
    <xdr:sp macro="" textlink="">
      <xdr:nvSpPr>
        <xdr:cNvPr id="37" name="テキスト ボックス 36"/>
        <xdr:cNvSpPr txBox="1"/>
      </xdr:nvSpPr>
      <xdr:spPr>
        <a:xfrm>
          <a:off x="20101405" y="2201378"/>
          <a:ext cx="6191250" cy="12815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「⑨日本銀行に報告する金額」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および</a:t>
          </a:r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「⑭日本銀行への申出金額」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については、</a:t>
          </a:r>
          <a:r>
            <a:rPr lang="ja-JP" altLang="en-US" sz="16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積数ベース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の金額を、</a:t>
          </a:r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「⑩日本銀行が通知する金額」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については、</a:t>
          </a:r>
          <a:r>
            <a:rPr lang="ja-JP" altLang="en-US" sz="16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日次ベース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の金額を入力してください。</a:t>
          </a:r>
        </a:p>
        <a:p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66312</xdr:colOff>
      <xdr:row>6</xdr:row>
      <xdr:rowOff>89984</xdr:rowOff>
    </xdr:from>
    <xdr:to>
      <xdr:col>22</xdr:col>
      <xdr:colOff>220137</xdr:colOff>
      <xdr:row>6</xdr:row>
      <xdr:rowOff>331017</xdr:rowOff>
    </xdr:to>
    <xdr:sp macro="" textlink="">
      <xdr:nvSpPr>
        <xdr:cNvPr id="38" name="右矢印 37"/>
        <xdr:cNvSpPr/>
      </xdr:nvSpPr>
      <xdr:spPr>
        <a:xfrm rot="16200000">
          <a:off x="21150889" y="2073225"/>
          <a:ext cx="241033" cy="257734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321671</xdr:colOff>
      <xdr:row>3</xdr:row>
      <xdr:rowOff>103908</xdr:rowOff>
    </xdr:from>
    <xdr:to>
      <xdr:col>20</xdr:col>
      <xdr:colOff>624071</xdr:colOff>
      <xdr:row>7</xdr:row>
      <xdr:rowOff>17490</xdr:rowOff>
    </xdr:to>
    <xdr:sp macro="" textlink="">
      <xdr:nvSpPr>
        <xdr:cNvPr id="39" name="右矢印 38"/>
        <xdr:cNvSpPr/>
      </xdr:nvSpPr>
      <xdr:spPr>
        <a:xfrm rot="13909054">
          <a:off x="19219716" y="1693272"/>
          <a:ext cx="1056582" cy="3024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1541319</xdr:colOff>
      <xdr:row>6</xdr:row>
      <xdr:rowOff>256424</xdr:rowOff>
    </xdr:from>
    <xdr:to>
      <xdr:col>20</xdr:col>
      <xdr:colOff>722228</xdr:colOff>
      <xdr:row>7</xdr:row>
      <xdr:rowOff>195142</xdr:rowOff>
    </xdr:to>
    <xdr:sp macro="" textlink="">
      <xdr:nvSpPr>
        <xdr:cNvPr id="40" name="右矢印 39"/>
        <xdr:cNvSpPr/>
      </xdr:nvSpPr>
      <xdr:spPr>
        <a:xfrm rot="13274396">
          <a:off x="19015364" y="2248015"/>
          <a:ext cx="982000" cy="3024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1459562</xdr:colOff>
      <xdr:row>13</xdr:row>
      <xdr:rowOff>228222</xdr:rowOff>
    </xdr:from>
    <xdr:to>
      <xdr:col>5</xdr:col>
      <xdr:colOff>29218</xdr:colOff>
      <xdr:row>21</xdr:row>
      <xdr:rowOff>250333</xdr:rowOff>
    </xdr:to>
    <xdr:sp macro="" textlink="">
      <xdr:nvSpPr>
        <xdr:cNvPr id="26" name="右矢印 25"/>
        <xdr:cNvSpPr/>
      </xdr:nvSpPr>
      <xdr:spPr>
        <a:xfrm rot="14344638">
          <a:off x="2577721" y="5846835"/>
          <a:ext cx="3156702" cy="370747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</xdr:row>
      <xdr:rowOff>252849</xdr:rowOff>
    </xdr:from>
    <xdr:to>
      <xdr:col>5</xdr:col>
      <xdr:colOff>484908</xdr:colOff>
      <xdr:row>4</xdr:row>
      <xdr:rowOff>69274</xdr:rowOff>
    </xdr:to>
    <xdr:sp macro="" textlink="">
      <xdr:nvSpPr>
        <xdr:cNvPr id="27" name="右矢印 26"/>
        <xdr:cNvSpPr/>
      </xdr:nvSpPr>
      <xdr:spPr>
        <a:xfrm rot="10800000">
          <a:off x="4312227" y="1291940"/>
          <a:ext cx="484908" cy="33597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121228</xdr:colOff>
      <xdr:row>6</xdr:row>
      <xdr:rowOff>103909</xdr:rowOff>
    </xdr:from>
    <xdr:to>
      <xdr:col>2</xdr:col>
      <xdr:colOff>242455</xdr:colOff>
      <xdr:row>8</xdr:row>
      <xdr:rowOff>51955</xdr:rowOff>
    </xdr:to>
    <xdr:sp macro="" textlink="">
      <xdr:nvSpPr>
        <xdr:cNvPr id="2" name="直角三角形 1"/>
        <xdr:cNvSpPr/>
      </xdr:nvSpPr>
      <xdr:spPr>
        <a:xfrm rot="8207171">
          <a:off x="235528" y="2123209"/>
          <a:ext cx="730827" cy="690996"/>
        </a:xfrm>
        <a:prstGeom prst="rtTriangle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111702</xdr:colOff>
      <xdr:row>6</xdr:row>
      <xdr:rowOff>51955</xdr:rowOff>
    </xdr:from>
    <xdr:to>
      <xdr:col>6</xdr:col>
      <xdr:colOff>0</xdr:colOff>
      <xdr:row>7</xdr:row>
      <xdr:rowOff>294409</xdr:rowOff>
    </xdr:to>
    <xdr:sp macro="" textlink="">
      <xdr:nvSpPr>
        <xdr:cNvPr id="3" name="角丸四角形吹き出し 2"/>
        <xdr:cNvSpPr/>
      </xdr:nvSpPr>
      <xdr:spPr>
        <a:xfrm>
          <a:off x="111702" y="2268682"/>
          <a:ext cx="6001616" cy="606136"/>
        </a:xfrm>
        <a:prstGeom prst="wedgeRoundRectCallout">
          <a:avLst>
            <a:gd name="adj1" fmla="val 13310"/>
            <a:gd name="adj2" fmla="val 4671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519546</xdr:colOff>
      <xdr:row>39</xdr:row>
      <xdr:rowOff>207815</xdr:rowOff>
    </xdr:from>
    <xdr:to>
      <xdr:col>26</xdr:col>
      <xdr:colOff>1246910</xdr:colOff>
      <xdr:row>41</xdr:row>
      <xdr:rowOff>77063</xdr:rowOff>
    </xdr:to>
    <xdr:sp macro="" textlink="">
      <xdr:nvSpPr>
        <xdr:cNvPr id="4" name="直角三角形 3"/>
        <xdr:cNvSpPr/>
      </xdr:nvSpPr>
      <xdr:spPr>
        <a:xfrm rot="8220000">
          <a:off x="32980746" y="14523890"/>
          <a:ext cx="727364" cy="650298"/>
        </a:xfrm>
        <a:prstGeom prst="rtTriangle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571499</xdr:colOff>
      <xdr:row>8</xdr:row>
      <xdr:rowOff>225138</xdr:rowOff>
    </xdr:from>
    <xdr:to>
      <xdr:col>11</xdr:col>
      <xdr:colOff>1298863</xdr:colOff>
      <xdr:row>11</xdr:row>
      <xdr:rowOff>155865</xdr:rowOff>
    </xdr:to>
    <xdr:sp macro="" textlink="">
      <xdr:nvSpPr>
        <xdr:cNvPr id="5" name="直角三角形 4"/>
        <xdr:cNvSpPr/>
      </xdr:nvSpPr>
      <xdr:spPr>
        <a:xfrm rot="-2580000">
          <a:off x="15640049" y="2987388"/>
          <a:ext cx="727364" cy="683202"/>
        </a:xfrm>
        <a:prstGeom prst="rtTriangle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536864</xdr:colOff>
      <xdr:row>8</xdr:row>
      <xdr:rowOff>225137</xdr:rowOff>
    </xdr:from>
    <xdr:to>
      <xdr:col>3</xdr:col>
      <xdr:colOff>1264228</xdr:colOff>
      <xdr:row>11</xdr:row>
      <xdr:rowOff>155864</xdr:rowOff>
    </xdr:to>
    <xdr:sp macro="" textlink="">
      <xdr:nvSpPr>
        <xdr:cNvPr id="6" name="直角三角形 5"/>
        <xdr:cNvSpPr/>
      </xdr:nvSpPr>
      <xdr:spPr>
        <a:xfrm rot="-2580000">
          <a:off x="3051464" y="2987387"/>
          <a:ext cx="727364" cy="683202"/>
        </a:xfrm>
        <a:prstGeom prst="rtTriangle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1298864</xdr:colOff>
      <xdr:row>7</xdr:row>
      <xdr:rowOff>315442</xdr:rowOff>
    </xdr:from>
    <xdr:to>
      <xdr:col>16</xdr:col>
      <xdr:colOff>51954</xdr:colOff>
      <xdr:row>11</xdr:row>
      <xdr:rowOff>121229</xdr:rowOff>
    </xdr:to>
    <xdr:sp macro="" textlink="">
      <xdr:nvSpPr>
        <xdr:cNvPr id="7" name="角丸四角形吹き出し 6"/>
        <xdr:cNvSpPr/>
      </xdr:nvSpPr>
      <xdr:spPr>
        <a:xfrm>
          <a:off x="9213273" y="2670715"/>
          <a:ext cx="4433454" cy="914150"/>
        </a:xfrm>
        <a:prstGeom prst="wedgeRoundRectCallout">
          <a:avLst>
            <a:gd name="adj1" fmla="val 13310"/>
            <a:gd name="adj2" fmla="val 4671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162049</xdr:colOff>
      <xdr:row>8</xdr:row>
      <xdr:rowOff>50403</xdr:rowOff>
    </xdr:from>
    <xdr:ext cx="3688772" cy="873333"/>
    <xdr:sp macro="" textlink="">
      <xdr:nvSpPr>
        <xdr:cNvPr id="8" name="テキスト ボックス 7"/>
        <xdr:cNvSpPr txBox="1"/>
      </xdr:nvSpPr>
      <xdr:spPr>
        <a:xfrm>
          <a:off x="12579185" y="2769358"/>
          <a:ext cx="3688772" cy="8733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本資料における「</a:t>
          </a:r>
          <a:r>
            <a:rPr kumimoji="1" lang="ja-JP" altLang="en-US" sz="1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マクロ加算残高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」は、法定準備預金額を除く残高です。</a:t>
          </a:r>
        </a:p>
      </xdr:txBody>
    </xdr:sp>
    <xdr:clientData/>
  </xdr:oneCellAnchor>
  <xdr:twoCellAnchor>
    <xdr:from>
      <xdr:col>23</xdr:col>
      <xdr:colOff>51955</xdr:colOff>
      <xdr:row>39</xdr:row>
      <xdr:rowOff>190499</xdr:rowOff>
    </xdr:from>
    <xdr:to>
      <xdr:col>26</xdr:col>
      <xdr:colOff>1801092</xdr:colOff>
      <xdr:row>42</xdr:row>
      <xdr:rowOff>86589</xdr:rowOff>
    </xdr:to>
    <xdr:sp macro="" textlink="">
      <xdr:nvSpPr>
        <xdr:cNvPr id="9" name="角丸四角形吹き出し 8"/>
        <xdr:cNvSpPr/>
      </xdr:nvSpPr>
      <xdr:spPr>
        <a:xfrm>
          <a:off x="29512780" y="14506574"/>
          <a:ext cx="4749512" cy="1067665"/>
        </a:xfrm>
        <a:prstGeom prst="wedgeRoundRectCallout">
          <a:avLst>
            <a:gd name="adj1" fmla="val 28180"/>
            <a:gd name="adj2" fmla="val -4943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24</xdr:col>
      <xdr:colOff>34636</xdr:colOff>
      <xdr:row>39</xdr:row>
      <xdr:rowOff>252345</xdr:rowOff>
    </xdr:from>
    <xdr:ext cx="4745183" cy="994563"/>
    <xdr:sp macro="" textlink="">
      <xdr:nvSpPr>
        <xdr:cNvPr id="10" name="テキスト ボックス 9"/>
        <xdr:cNvSpPr txBox="1"/>
      </xdr:nvSpPr>
      <xdr:spPr>
        <a:xfrm>
          <a:off x="29619286" y="14568420"/>
          <a:ext cx="4745183" cy="99456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T-4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T-3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T-2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積み期間の試算</a:t>
          </a:r>
          <a:r>
            <a:rPr kumimoji="1" lang="ja-JP" altLang="en-US" sz="17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の全て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において「</a:t>
          </a:r>
          <a:r>
            <a:rPr kumimoji="1" lang="ja-JP" altLang="en-US" sz="1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」が表示された先は、</a:t>
          </a:r>
          <a:r>
            <a:rPr kumimoji="1" lang="en-US" altLang="ja-JP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T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積み期間の試算において⑬に「</a:t>
          </a:r>
          <a:r>
            <a:rPr kumimoji="1" lang="ja-JP" altLang="en-US" sz="1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」を選択してください。</a:t>
          </a:r>
        </a:p>
      </xdr:txBody>
    </xdr:sp>
    <xdr:clientData/>
  </xdr:oneCellAnchor>
  <xdr:twoCellAnchor>
    <xdr:from>
      <xdr:col>2</xdr:col>
      <xdr:colOff>21340</xdr:colOff>
      <xdr:row>7</xdr:row>
      <xdr:rowOff>305232</xdr:rowOff>
    </xdr:from>
    <xdr:to>
      <xdr:col>8</xdr:col>
      <xdr:colOff>1056409</xdr:colOff>
      <xdr:row>11</xdr:row>
      <xdr:rowOff>218642</xdr:rowOff>
    </xdr:to>
    <xdr:sp macro="" textlink="">
      <xdr:nvSpPr>
        <xdr:cNvPr id="11" name="角丸四角形吹き出し 10"/>
        <xdr:cNvSpPr/>
      </xdr:nvSpPr>
      <xdr:spPr>
        <a:xfrm>
          <a:off x="748704" y="2885641"/>
          <a:ext cx="6421023" cy="1021774"/>
        </a:xfrm>
        <a:prstGeom prst="wedgeRoundRectCallout">
          <a:avLst>
            <a:gd name="adj1" fmla="val -11653"/>
            <a:gd name="adj2" fmla="val 48270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17317</xdr:colOff>
      <xdr:row>8</xdr:row>
      <xdr:rowOff>12983</xdr:rowOff>
    </xdr:from>
    <xdr:ext cx="6286501" cy="1073728"/>
    <xdr:sp macro="" textlink="">
      <xdr:nvSpPr>
        <xdr:cNvPr id="12" name="テキスト ボックス 11"/>
        <xdr:cNvSpPr txBox="1"/>
      </xdr:nvSpPr>
      <xdr:spPr>
        <a:xfrm>
          <a:off x="744681" y="2957074"/>
          <a:ext cx="6286501" cy="10737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ja-JP" altLang="en-US" sz="1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対象借入れ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」は、</a:t>
          </a:r>
          <a:r>
            <a:rPr kumimoji="1" lang="ja-JP" altLang="en-US" sz="17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成長基盤強化支援資金供給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ja-JP" altLang="en-US" sz="17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貸出増加支援資金供給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ja-JP" altLang="en-US" sz="17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被災地金融機関支援オペ</a:t>
          </a:r>
          <a:r>
            <a:rPr kumimoji="1" lang="ja-JP" altLang="en-US" sz="17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ja-JP" altLang="en-US" sz="17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気候変動対応オペ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をいいます。</a:t>
          </a:r>
        </a:p>
      </xdr:txBody>
    </xdr:sp>
    <xdr:clientData/>
  </xdr:oneCellAnchor>
  <xdr:oneCellAnchor>
    <xdr:from>
      <xdr:col>1</xdr:col>
      <xdr:colOff>34636</xdr:colOff>
      <xdr:row>6</xdr:row>
      <xdr:rowOff>16696</xdr:rowOff>
    </xdr:from>
    <xdr:ext cx="5836227" cy="1073728"/>
    <xdr:sp macro="" textlink="">
      <xdr:nvSpPr>
        <xdr:cNvPr id="13" name="テキスト ボックス 12"/>
        <xdr:cNvSpPr txBox="1"/>
      </xdr:nvSpPr>
      <xdr:spPr>
        <a:xfrm>
          <a:off x="155863" y="2233423"/>
          <a:ext cx="5836227" cy="10737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ja-JP" altLang="en-US" sz="1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③基準比率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」が「０」でない場合には、「</a:t>
          </a:r>
          <a:r>
            <a:rPr kumimoji="1" lang="ja-JP" altLang="en-US" sz="1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④加算比率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」には「１００」を入力してください。</a:t>
          </a:r>
        </a:p>
        <a:p>
          <a:endParaRPr kumimoji="1" lang="ja-JP" altLang="en-US" sz="17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103910</xdr:colOff>
      <xdr:row>0</xdr:row>
      <xdr:rowOff>103909</xdr:rowOff>
    </xdr:from>
    <xdr:to>
      <xdr:col>3</xdr:col>
      <xdr:colOff>1541320</xdr:colOff>
      <xdr:row>0</xdr:row>
      <xdr:rowOff>846698</xdr:rowOff>
    </xdr:to>
    <xdr:sp macro="" textlink="">
      <xdr:nvSpPr>
        <xdr:cNvPr id="14" name="テキスト ボックス 13"/>
        <xdr:cNvSpPr txBox="1"/>
      </xdr:nvSpPr>
      <xdr:spPr>
        <a:xfrm>
          <a:off x="103910" y="103909"/>
          <a:ext cx="3948546" cy="74278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900"/>
            </a:lnSpc>
          </a:pPr>
          <a:r>
            <a:rPr kumimoji="1" lang="ja-JP" altLang="en-US" sz="2200" b="1">
              <a:solidFill>
                <a:srgbClr val="FF0000"/>
              </a:solidFill>
              <a:latin typeface="ＭＳ ゴシック 本文"/>
            </a:rPr>
            <a:t>積み期間の終了後に、付利</a:t>
          </a:r>
          <a:endParaRPr kumimoji="1" lang="en-US" altLang="ja-JP" sz="2200" b="1">
            <a:solidFill>
              <a:srgbClr val="FF0000"/>
            </a:solidFill>
            <a:latin typeface="ＭＳ ゴシック 本文"/>
          </a:endParaRPr>
        </a:p>
        <a:p>
          <a:pPr algn="ctr">
            <a:lnSpc>
              <a:spcPts val="1900"/>
            </a:lnSpc>
          </a:pPr>
          <a:r>
            <a:rPr kumimoji="1" lang="ja-JP" altLang="en-US" sz="2200" b="1">
              <a:solidFill>
                <a:srgbClr val="FF0000"/>
              </a:solidFill>
              <a:latin typeface="ＭＳ ゴシック 本文"/>
            </a:rPr>
            <a:t>対象残高を確認する場合</a:t>
          </a:r>
        </a:p>
      </xdr:txBody>
    </xdr:sp>
    <xdr:clientData/>
  </xdr:twoCellAnchor>
  <xdr:twoCellAnchor>
    <xdr:from>
      <xdr:col>15</xdr:col>
      <xdr:colOff>17318</xdr:colOff>
      <xdr:row>11</xdr:row>
      <xdr:rowOff>277090</xdr:rowOff>
    </xdr:from>
    <xdr:to>
      <xdr:col>16</xdr:col>
      <xdr:colOff>6186</xdr:colOff>
      <xdr:row>15</xdr:row>
      <xdr:rowOff>34638</xdr:rowOff>
    </xdr:to>
    <xdr:sp macro="" textlink="">
      <xdr:nvSpPr>
        <xdr:cNvPr id="15" name="角丸四角形 14"/>
        <xdr:cNvSpPr/>
      </xdr:nvSpPr>
      <xdr:spPr>
        <a:xfrm>
          <a:off x="11811000" y="4156363"/>
          <a:ext cx="1789959" cy="1177639"/>
        </a:xfrm>
        <a:prstGeom prst="roundRect">
          <a:avLst/>
        </a:prstGeom>
        <a:noFill/>
        <a:ln w="381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207819</xdr:colOff>
      <xdr:row>15</xdr:row>
      <xdr:rowOff>346364</xdr:rowOff>
    </xdr:from>
    <xdr:to>
      <xdr:col>12</xdr:col>
      <xdr:colOff>8661</xdr:colOff>
      <xdr:row>19</xdr:row>
      <xdr:rowOff>86593</xdr:rowOff>
    </xdr:to>
    <xdr:sp macro="" textlink="">
      <xdr:nvSpPr>
        <xdr:cNvPr id="16" name="角丸四角形吹き出し 15"/>
        <xdr:cNvSpPr/>
      </xdr:nvSpPr>
      <xdr:spPr>
        <a:xfrm>
          <a:off x="6321137" y="5645728"/>
          <a:ext cx="5204115" cy="1333501"/>
        </a:xfrm>
        <a:prstGeom prst="wedgeRoundRectCallout">
          <a:avLst>
            <a:gd name="adj1" fmla="val 57368"/>
            <a:gd name="adj2" fmla="val -79029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363683</xdr:colOff>
      <xdr:row>16</xdr:row>
      <xdr:rowOff>3</xdr:rowOff>
    </xdr:from>
    <xdr:to>
      <xdr:col>11</xdr:col>
      <xdr:colOff>1714500</xdr:colOff>
      <xdr:row>20</xdr:row>
      <xdr:rowOff>242456</xdr:rowOff>
    </xdr:to>
    <xdr:sp macro="" textlink="">
      <xdr:nvSpPr>
        <xdr:cNvPr id="17" name="テキスト ボックス 16"/>
        <xdr:cNvSpPr txBox="1"/>
      </xdr:nvSpPr>
      <xdr:spPr>
        <a:xfrm>
          <a:off x="6477001" y="5697685"/>
          <a:ext cx="4952999" cy="1835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日次ベースの政策金利残高を確認することができます。</a:t>
          </a:r>
        </a:p>
        <a:p>
          <a:r>
            <a:rPr kumimoji="1" lang="ja-JP" altLang="en-US" sz="1600"/>
            <a:t>ただし、特定の日において政策金利残高が発生している場合であっても、積み期間を通じた積数ベースでは、政策金利残高が発生しないことがあります。</a:t>
          </a:r>
        </a:p>
        <a:p>
          <a:endParaRPr kumimoji="1" lang="ja-JP" altLang="en-US" sz="1600"/>
        </a:p>
      </xdr:txBody>
    </xdr:sp>
    <xdr:clientData/>
  </xdr:twoCellAnchor>
  <xdr:twoCellAnchor>
    <xdr:from>
      <xdr:col>11</xdr:col>
      <xdr:colOff>1573705</xdr:colOff>
      <xdr:row>28</xdr:row>
      <xdr:rowOff>337048</xdr:rowOff>
    </xdr:from>
    <xdr:to>
      <xdr:col>11</xdr:col>
      <xdr:colOff>1573705</xdr:colOff>
      <xdr:row>46</xdr:row>
      <xdr:rowOff>199158</xdr:rowOff>
    </xdr:to>
    <xdr:cxnSp macro="">
      <xdr:nvCxnSpPr>
        <xdr:cNvPr id="18" name="直線矢印コネクタ 17"/>
        <xdr:cNvCxnSpPr/>
      </xdr:nvCxnSpPr>
      <xdr:spPr>
        <a:xfrm>
          <a:off x="11289205" y="10814548"/>
          <a:ext cx="0" cy="7031837"/>
        </a:xfrm>
        <a:prstGeom prst="straightConnector1">
          <a:avLst/>
        </a:prstGeom>
        <a:ln w="38100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1282862</xdr:colOff>
      <xdr:row>28</xdr:row>
      <xdr:rowOff>82515</xdr:rowOff>
    </xdr:from>
    <xdr:to>
      <xdr:col>24</xdr:col>
      <xdr:colOff>848591</xdr:colOff>
      <xdr:row>31</xdr:row>
      <xdr:rowOff>303066</xdr:rowOff>
    </xdr:to>
    <xdr:cxnSp macro="">
      <xdr:nvCxnSpPr>
        <xdr:cNvPr id="19" name="直線矢印コネクタ 18"/>
        <xdr:cNvCxnSpPr/>
      </xdr:nvCxnSpPr>
      <xdr:spPr>
        <a:xfrm>
          <a:off x="13076544" y="10560015"/>
          <a:ext cx="9367820" cy="1415506"/>
        </a:xfrm>
        <a:prstGeom prst="straightConnector1">
          <a:avLst/>
        </a:prstGeom>
        <a:ln w="38100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155863</xdr:colOff>
      <xdr:row>21</xdr:row>
      <xdr:rowOff>363681</xdr:rowOff>
    </xdr:from>
    <xdr:to>
      <xdr:col>26</xdr:col>
      <xdr:colOff>0</xdr:colOff>
      <xdr:row>27</xdr:row>
      <xdr:rowOff>147203</xdr:rowOff>
    </xdr:to>
    <xdr:cxnSp macro="">
      <xdr:nvCxnSpPr>
        <xdr:cNvPr id="20" name="直線矢印コネクタ 19"/>
        <xdr:cNvCxnSpPr/>
      </xdr:nvCxnSpPr>
      <xdr:spPr>
        <a:xfrm flipV="1">
          <a:off x="14027727" y="8052954"/>
          <a:ext cx="10442864" cy="2173431"/>
        </a:xfrm>
        <a:prstGeom prst="straightConnector1">
          <a:avLst/>
        </a:prstGeom>
        <a:ln w="38100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1749137</xdr:colOff>
      <xdr:row>46</xdr:row>
      <xdr:rowOff>268430</xdr:rowOff>
    </xdr:from>
    <xdr:to>
      <xdr:col>16</xdr:col>
      <xdr:colOff>173182</xdr:colOff>
      <xdr:row>48</xdr:row>
      <xdr:rowOff>47005</xdr:rowOff>
    </xdr:to>
    <xdr:sp macro="" textlink="">
      <xdr:nvSpPr>
        <xdr:cNvPr id="21" name="角丸四角形 20"/>
        <xdr:cNvSpPr/>
      </xdr:nvSpPr>
      <xdr:spPr>
        <a:xfrm>
          <a:off x="7862455" y="17915657"/>
          <a:ext cx="5905500" cy="471303"/>
        </a:xfrm>
        <a:prstGeom prst="roundRect">
          <a:avLst/>
        </a:prstGeom>
        <a:noFill/>
        <a:ln w="38100">
          <a:solidFill>
            <a:srgbClr val="00B0F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883228</xdr:colOff>
      <xdr:row>26</xdr:row>
      <xdr:rowOff>338605</xdr:rowOff>
    </xdr:from>
    <xdr:to>
      <xdr:col>17</xdr:col>
      <xdr:colOff>156110</xdr:colOff>
      <xdr:row>28</xdr:row>
      <xdr:rowOff>373365</xdr:rowOff>
    </xdr:to>
    <xdr:sp macro="" textlink="">
      <xdr:nvSpPr>
        <xdr:cNvPr id="22" name="フローチャート : 代替処理 15"/>
        <xdr:cNvSpPr/>
      </xdr:nvSpPr>
      <xdr:spPr bwMode="auto">
        <a:xfrm>
          <a:off x="8797637" y="10019469"/>
          <a:ext cx="5230337" cy="831396"/>
        </a:xfrm>
        <a:prstGeom prst="flowChartAlternateProcess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883228</xdr:colOff>
      <xdr:row>27</xdr:row>
      <xdr:rowOff>51085</xdr:rowOff>
    </xdr:from>
    <xdr:to>
      <xdr:col>17</xdr:col>
      <xdr:colOff>225137</xdr:colOff>
      <xdr:row>30</xdr:row>
      <xdr:rowOff>33767</xdr:rowOff>
    </xdr:to>
    <xdr:sp macro="" textlink="">
      <xdr:nvSpPr>
        <xdr:cNvPr id="23" name="テキスト ボックス 22"/>
        <xdr:cNvSpPr txBox="1"/>
      </xdr:nvSpPr>
      <xdr:spPr>
        <a:xfrm>
          <a:off x="8797637" y="10130267"/>
          <a:ext cx="5299364" cy="1177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「合計」欄の値は、日次ベースの値を合計しているため、端数処理の結果、積数ベースの値と異なることがあります。</a:t>
          </a:r>
        </a:p>
        <a:p>
          <a:endParaRPr kumimoji="1" lang="ja-JP" altLang="en-US" sz="1600"/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21471</xdr:colOff>
      <xdr:row>37</xdr:row>
      <xdr:rowOff>13170</xdr:rowOff>
    </xdr:to>
    <xdr:sp macro="" textlink="">
      <xdr:nvSpPr>
        <xdr:cNvPr id="24" name="角丸四角形 23"/>
        <xdr:cNvSpPr/>
      </xdr:nvSpPr>
      <xdr:spPr>
        <a:xfrm>
          <a:off x="22565591" y="11672455"/>
          <a:ext cx="1926471" cy="2403079"/>
        </a:xfrm>
        <a:prstGeom prst="roundRect">
          <a:avLst/>
        </a:prstGeom>
        <a:noFill/>
        <a:ln w="38100">
          <a:solidFill>
            <a:srgbClr val="00B0F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69272</xdr:colOff>
      <xdr:row>21</xdr:row>
      <xdr:rowOff>34636</xdr:rowOff>
    </xdr:from>
    <xdr:to>
      <xdr:col>26</xdr:col>
      <xdr:colOff>1801091</xdr:colOff>
      <xdr:row>22</xdr:row>
      <xdr:rowOff>381000</xdr:rowOff>
    </xdr:to>
    <xdr:sp macro="" textlink="">
      <xdr:nvSpPr>
        <xdr:cNvPr id="25" name="角丸四角形 24"/>
        <xdr:cNvSpPr/>
      </xdr:nvSpPr>
      <xdr:spPr>
        <a:xfrm>
          <a:off x="24539863" y="7723909"/>
          <a:ext cx="1731819" cy="744682"/>
        </a:xfrm>
        <a:prstGeom prst="roundRect">
          <a:avLst/>
        </a:prstGeom>
        <a:noFill/>
        <a:ln w="38100">
          <a:solidFill>
            <a:srgbClr val="00B0F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103909</xdr:colOff>
      <xdr:row>30</xdr:row>
      <xdr:rowOff>388959</xdr:rowOff>
    </xdr:from>
    <xdr:to>
      <xdr:col>19</xdr:col>
      <xdr:colOff>1157262</xdr:colOff>
      <xdr:row>34</xdr:row>
      <xdr:rowOff>202870</xdr:rowOff>
    </xdr:to>
    <xdr:sp macro="" textlink="">
      <xdr:nvSpPr>
        <xdr:cNvPr id="26" name="角丸四角形 25"/>
        <xdr:cNvSpPr/>
      </xdr:nvSpPr>
      <xdr:spPr>
        <a:xfrm>
          <a:off x="13698682" y="11663095"/>
          <a:ext cx="4932625" cy="140718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69274</xdr:colOff>
      <xdr:row>27</xdr:row>
      <xdr:rowOff>311728</xdr:rowOff>
    </xdr:from>
    <xdr:to>
      <xdr:col>27</xdr:col>
      <xdr:colOff>34637</xdr:colOff>
      <xdr:row>37</xdr:row>
      <xdr:rowOff>68036</xdr:rowOff>
    </xdr:to>
    <xdr:sp macro="" textlink="">
      <xdr:nvSpPr>
        <xdr:cNvPr id="27" name="角丸四角形 26"/>
        <xdr:cNvSpPr/>
      </xdr:nvSpPr>
      <xdr:spPr>
        <a:xfrm>
          <a:off x="24539865" y="10390910"/>
          <a:ext cx="1783772" cy="3739490"/>
        </a:xfrm>
        <a:prstGeom prst="roundRect">
          <a:avLst/>
        </a:prstGeom>
        <a:noFill/>
        <a:ln w="38100">
          <a:solidFill>
            <a:srgbClr val="00B05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1143000</xdr:colOff>
      <xdr:row>23</xdr:row>
      <xdr:rowOff>51955</xdr:rowOff>
    </xdr:from>
    <xdr:to>
      <xdr:col>25</xdr:col>
      <xdr:colOff>1887682</xdr:colOff>
      <xdr:row>31</xdr:row>
      <xdr:rowOff>81643</xdr:rowOff>
    </xdr:to>
    <xdr:cxnSp macro="">
      <xdr:nvCxnSpPr>
        <xdr:cNvPr id="28" name="直線矢印コネクタ 27"/>
        <xdr:cNvCxnSpPr/>
      </xdr:nvCxnSpPr>
      <xdr:spPr>
        <a:xfrm flipV="1">
          <a:off x="18617045" y="8537864"/>
          <a:ext cx="5836228" cy="3216234"/>
        </a:xfrm>
        <a:prstGeom prst="straightConnector1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1163664</xdr:colOff>
      <xdr:row>32</xdr:row>
      <xdr:rowOff>328350</xdr:rowOff>
    </xdr:from>
    <xdr:to>
      <xdr:col>26</xdr:col>
      <xdr:colOff>0</xdr:colOff>
      <xdr:row>32</xdr:row>
      <xdr:rowOff>346365</xdr:rowOff>
    </xdr:to>
    <xdr:cxnSp macro="">
      <xdr:nvCxnSpPr>
        <xdr:cNvPr id="29" name="直線矢印コネクタ 28"/>
        <xdr:cNvCxnSpPr/>
      </xdr:nvCxnSpPr>
      <xdr:spPr>
        <a:xfrm flipV="1">
          <a:off x="18637709" y="12399123"/>
          <a:ext cx="5832882" cy="18015"/>
        </a:xfrm>
        <a:prstGeom prst="straightConnector1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190502</xdr:colOff>
      <xdr:row>31</xdr:row>
      <xdr:rowOff>138544</xdr:rowOff>
    </xdr:from>
    <xdr:to>
      <xdr:col>19</xdr:col>
      <xdr:colOff>1160320</xdr:colOff>
      <xdr:row>34</xdr:row>
      <xdr:rowOff>277090</xdr:rowOff>
    </xdr:to>
    <xdr:sp macro="" textlink="">
      <xdr:nvSpPr>
        <xdr:cNvPr id="30" name="テキスト ボックス 29"/>
        <xdr:cNvSpPr txBox="1"/>
      </xdr:nvSpPr>
      <xdr:spPr>
        <a:xfrm>
          <a:off x="13785275" y="11810999"/>
          <a:ext cx="4849090" cy="133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本入力例では、法定準備預金額、基礎残高、マクロ加算残高を、それぞれ上限値まで利用しているため、「未利用枠」欄はいずれも「０」となり、政策金利残高が発生しています。</a:t>
          </a:r>
        </a:p>
        <a:p>
          <a:endParaRPr kumimoji="1" lang="ja-JP" altLang="en-US" sz="1600"/>
        </a:p>
      </xdr:txBody>
    </xdr:sp>
    <xdr:clientData/>
  </xdr:twoCellAnchor>
  <xdr:twoCellAnchor>
    <xdr:from>
      <xdr:col>26</xdr:col>
      <xdr:colOff>17318</xdr:colOff>
      <xdr:row>20</xdr:row>
      <xdr:rowOff>329045</xdr:rowOff>
    </xdr:from>
    <xdr:to>
      <xdr:col>27</xdr:col>
      <xdr:colOff>51954</xdr:colOff>
      <xdr:row>23</xdr:row>
      <xdr:rowOff>51954</xdr:rowOff>
    </xdr:to>
    <xdr:sp macro="" textlink="">
      <xdr:nvSpPr>
        <xdr:cNvPr id="31" name="角丸四角形 30"/>
        <xdr:cNvSpPr/>
      </xdr:nvSpPr>
      <xdr:spPr>
        <a:xfrm>
          <a:off x="24487909" y="7620000"/>
          <a:ext cx="1853045" cy="917863"/>
        </a:xfrm>
        <a:prstGeom prst="roundRect">
          <a:avLst/>
        </a:prstGeom>
        <a:noFill/>
        <a:ln w="38100">
          <a:solidFill>
            <a:srgbClr val="00B05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51955</xdr:colOff>
      <xdr:row>0</xdr:row>
      <xdr:rowOff>138545</xdr:rowOff>
    </xdr:from>
    <xdr:to>
      <xdr:col>3</xdr:col>
      <xdr:colOff>1039091</xdr:colOff>
      <xdr:row>0</xdr:row>
      <xdr:rowOff>864017</xdr:rowOff>
    </xdr:to>
    <xdr:sp macro="" textlink="">
      <xdr:nvSpPr>
        <xdr:cNvPr id="20" name="テキスト ボックス 19"/>
        <xdr:cNvSpPr txBox="1"/>
      </xdr:nvSpPr>
      <xdr:spPr>
        <a:xfrm>
          <a:off x="173182" y="138545"/>
          <a:ext cx="3377045" cy="72547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900"/>
            </a:lnSpc>
          </a:pPr>
          <a:r>
            <a:rPr kumimoji="1" lang="ja-JP" altLang="en-US" sz="2200" b="1">
              <a:solidFill>
                <a:srgbClr val="FF0000"/>
              </a:solidFill>
              <a:latin typeface="ＭＳ ゴシック 本文"/>
            </a:rPr>
            <a:t>積み期間の途中に、付利対象残高を確認する場合</a:t>
          </a:r>
        </a:p>
      </xdr:txBody>
    </xdr:sp>
    <xdr:clientData/>
  </xdr:twoCellAnchor>
  <xdr:twoCellAnchor>
    <xdr:from>
      <xdr:col>4</xdr:col>
      <xdr:colOff>119061</xdr:colOff>
      <xdr:row>30</xdr:row>
      <xdr:rowOff>22348</xdr:rowOff>
    </xdr:from>
    <xdr:to>
      <xdr:col>5</xdr:col>
      <xdr:colOff>145039</xdr:colOff>
      <xdr:row>35</xdr:row>
      <xdr:rowOff>264802</xdr:rowOff>
    </xdr:to>
    <xdr:cxnSp macro="">
      <xdr:nvCxnSpPr>
        <xdr:cNvPr id="21" name="直線矢印コネクタ 20"/>
        <xdr:cNvCxnSpPr/>
      </xdr:nvCxnSpPr>
      <xdr:spPr>
        <a:xfrm flipH="1">
          <a:off x="4452936" y="11142786"/>
          <a:ext cx="1835728" cy="2147454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56282</xdr:colOff>
      <xdr:row>20</xdr:row>
      <xdr:rowOff>285750</xdr:rowOff>
    </xdr:from>
    <xdr:to>
      <xdr:col>12</xdr:col>
      <xdr:colOff>0</xdr:colOff>
      <xdr:row>31</xdr:row>
      <xdr:rowOff>121228</xdr:rowOff>
    </xdr:to>
    <xdr:sp macro="" textlink="">
      <xdr:nvSpPr>
        <xdr:cNvPr id="22" name="角丸四角形 21"/>
        <xdr:cNvSpPr/>
      </xdr:nvSpPr>
      <xdr:spPr>
        <a:xfrm>
          <a:off x="6169600" y="7576705"/>
          <a:ext cx="5346991" cy="4216978"/>
        </a:xfrm>
        <a:prstGeom prst="roundRect">
          <a:avLst>
            <a:gd name="adj" fmla="val 9568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75767</xdr:colOff>
      <xdr:row>27</xdr:row>
      <xdr:rowOff>351396</xdr:rowOff>
    </xdr:from>
    <xdr:to>
      <xdr:col>27</xdr:col>
      <xdr:colOff>41130</xdr:colOff>
      <xdr:row>36</xdr:row>
      <xdr:rowOff>381001</xdr:rowOff>
    </xdr:to>
    <xdr:sp macro="" textlink="">
      <xdr:nvSpPr>
        <xdr:cNvPr id="23" name="角丸四角形 22"/>
        <xdr:cNvSpPr/>
      </xdr:nvSpPr>
      <xdr:spPr>
        <a:xfrm>
          <a:off x="24546358" y="10430578"/>
          <a:ext cx="1783772" cy="3614468"/>
        </a:xfrm>
        <a:prstGeom prst="roundRect">
          <a:avLst/>
        </a:prstGeom>
        <a:noFill/>
        <a:ln w="381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1800223</xdr:colOff>
      <xdr:row>27</xdr:row>
      <xdr:rowOff>368019</xdr:rowOff>
    </xdr:from>
    <xdr:to>
      <xdr:col>26</xdr:col>
      <xdr:colOff>173181</xdr:colOff>
      <xdr:row>28</xdr:row>
      <xdr:rowOff>27677</xdr:rowOff>
    </xdr:to>
    <xdr:cxnSp macro="">
      <xdr:nvCxnSpPr>
        <xdr:cNvPr id="24" name="直線矢印コネクタ 23"/>
        <xdr:cNvCxnSpPr/>
      </xdr:nvCxnSpPr>
      <xdr:spPr>
        <a:xfrm flipV="1">
          <a:off x="11563348" y="10345457"/>
          <a:ext cx="13184333" cy="40658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571499</xdr:colOff>
      <xdr:row>35</xdr:row>
      <xdr:rowOff>303787</xdr:rowOff>
    </xdr:from>
    <xdr:to>
      <xdr:col>5</xdr:col>
      <xdr:colOff>23812</xdr:colOff>
      <xdr:row>46</xdr:row>
      <xdr:rowOff>121927</xdr:rowOff>
    </xdr:to>
    <xdr:sp macro="" textlink="">
      <xdr:nvSpPr>
        <xdr:cNvPr id="25" name="角丸四角形 24"/>
        <xdr:cNvSpPr/>
      </xdr:nvSpPr>
      <xdr:spPr>
        <a:xfrm>
          <a:off x="690562" y="13329225"/>
          <a:ext cx="5476875" cy="4009140"/>
        </a:xfrm>
        <a:prstGeom prst="roundRect">
          <a:avLst/>
        </a:prstGeom>
        <a:noFill/>
        <a:ln w="381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190498</xdr:colOff>
      <xdr:row>21</xdr:row>
      <xdr:rowOff>76468</xdr:rowOff>
    </xdr:from>
    <xdr:to>
      <xdr:col>11</xdr:col>
      <xdr:colOff>1762123</xdr:colOff>
      <xdr:row>31</xdr:row>
      <xdr:rowOff>34636</xdr:rowOff>
    </xdr:to>
    <xdr:sp macro="" textlink="">
      <xdr:nvSpPr>
        <xdr:cNvPr id="26" name="テキスト ボックス 25"/>
        <xdr:cNvSpPr txBox="1"/>
      </xdr:nvSpPr>
      <xdr:spPr>
        <a:xfrm>
          <a:off x="6303816" y="7765741"/>
          <a:ext cx="5173807" cy="394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本入力例では、足もと（５日）までの実績値の入力に加えて、先行きの見通しに基づき、６日以降の「⑥対象借入れの残高（オペ１階）」の数値を入力することで、政策金利残高が発生するまでの未利用枠を確認しています。</a:t>
          </a:r>
        </a:p>
        <a:p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ja-JP" altLang="en-US" sz="1600">
              <a:solidFill>
                <a:sysClr val="windowText" lastClr="000000"/>
              </a:solidFill>
            </a:rPr>
            <a:t>この場合、マクロ加算残高について、上限値が約３１６億円となっているのに対し、未利用枠が約１７１億円残っていることが分かります。</a:t>
          </a:r>
        </a:p>
        <a:p>
          <a:endParaRPr kumimoji="1" lang="ja-JP" altLang="en-US" sz="1600"/>
        </a:p>
        <a:p>
          <a:r>
            <a:rPr kumimoji="1" lang="ja-JP" altLang="en-US" sz="1600"/>
            <a:t>また、先行きの見通しに基づき、６日以降の「⑤対象預金の残高」欄にも数値を入力すれば、積み期間終了時の付利対象残高を試算することもできます。</a:t>
          </a:r>
        </a:p>
        <a:p>
          <a:endParaRPr kumimoji="1" lang="ja-JP" altLang="en-US" sz="1600"/>
        </a:p>
      </xdr:txBody>
    </xdr:sp>
    <xdr:clientData/>
  </xdr:twoCellAnchor>
  <xdr:twoCellAnchor>
    <xdr:from>
      <xdr:col>11</xdr:col>
      <xdr:colOff>1610507</xdr:colOff>
      <xdr:row>36</xdr:row>
      <xdr:rowOff>9956</xdr:rowOff>
    </xdr:from>
    <xdr:to>
      <xdr:col>17</xdr:col>
      <xdr:colOff>132051</xdr:colOff>
      <xdr:row>46</xdr:row>
      <xdr:rowOff>207819</xdr:rowOff>
    </xdr:to>
    <xdr:cxnSp macro="">
      <xdr:nvCxnSpPr>
        <xdr:cNvPr id="27" name="直線矢印コネクタ 26"/>
        <xdr:cNvCxnSpPr>
          <a:stCxn id="32" idx="1"/>
        </xdr:cNvCxnSpPr>
      </xdr:nvCxnSpPr>
      <xdr:spPr>
        <a:xfrm flipH="1">
          <a:off x="11373632" y="13416394"/>
          <a:ext cx="2712544" cy="4007863"/>
        </a:xfrm>
        <a:prstGeom prst="straightConnector1">
          <a:avLst/>
        </a:prstGeom>
        <a:ln w="38100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1370300</xdr:colOff>
      <xdr:row>34</xdr:row>
      <xdr:rowOff>238125</xdr:rowOff>
    </xdr:from>
    <xdr:to>
      <xdr:col>24</xdr:col>
      <xdr:colOff>965487</xdr:colOff>
      <xdr:row>34</xdr:row>
      <xdr:rowOff>238126</xdr:rowOff>
    </xdr:to>
    <xdr:cxnSp macro="">
      <xdr:nvCxnSpPr>
        <xdr:cNvPr id="28" name="直線矢印コネクタ 27"/>
        <xdr:cNvCxnSpPr/>
      </xdr:nvCxnSpPr>
      <xdr:spPr>
        <a:xfrm>
          <a:off x="18943925" y="12882563"/>
          <a:ext cx="3714750" cy="1"/>
        </a:xfrm>
        <a:prstGeom prst="straightConnector1">
          <a:avLst/>
        </a:prstGeom>
        <a:ln w="38100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12989</xdr:colOff>
      <xdr:row>28</xdr:row>
      <xdr:rowOff>1</xdr:rowOff>
    </xdr:from>
    <xdr:to>
      <xdr:col>26</xdr:col>
      <xdr:colOff>40954</xdr:colOff>
      <xdr:row>37</xdr:row>
      <xdr:rowOff>34638</xdr:rowOff>
    </xdr:to>
    <xdr:sp macro="" textlink="">
      <xdr:nvSpPr>
        <xdr:cNvPr id="29" name="角丸四角形 28"/>
        <xdr:cNvSpPr/>
      </xdr:nvSpPr>
      <xdr:spPr>
        <a:xfrm>
          <a:off x="22682489" y="10358439"/>
          <a:ext cx="1932965" cy="3463637"/>
        </a:xfrm>
        <a:prstGeom prst="roundRect">
          <a:avLst/>
        </a:prstGeom>
        <a:noFill/>
        <a:ln w="38100">
          <a:solidFill>
            <a:srgbClr val="00B0F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1785938</xdr:colOff>
      <xdr:row>46</xdr:row>
      <xdr:rowOff>277091</xdr:rowOff>
    </xdr:from>
    <xdr:to>
      <xdr:col>14</xdr:col>
      <xdr:colOff>88756</xdr:colOff>
      <xdr:row>48</xdr:row>
      <xdr:rowOff>55667</xdr:rowOff>
    </xdr:to>
    <xdr:sp macro="" textlink="">
      <xdr:nvSpPr>
        <xdr:cNvPr id="30" name="角丸四角形 29"/>
        <xdr:cNvSpPr/>
      </xdr:nvSpPr>
      <xdr:spPr>
        <a:xfrm>
          <a:off x="6119813" y="17493529"/>
          <a:ext cx="5541818" cy="469138"/>
        </a:xfrm>
        <a:prstGeom prst="roundRect">
          <a:avLst/>
        </a:prstGeom>
        <a:noFill/>
        <a:ln w="38100">
          <a:solidFill>
            <a:srgbClr val="00B0F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108239</xdr:colOff>
      <xdr:row>34</xdr:row>
      <xdr:rowOff>98319</xdr:rowOff>
    </xdr:from>
    <xdr:to>
      <xdr:col>19</xdr:col>
      <xdr:colOff>1591355</xdr:colOff>
      <xdr:row>36</xdr:row>
      <xdr:rowOff>133078</xdr:rowOff>
    </xdr:to>
    <xdr:sp macro="" textlink="">
      <xdr:nvSpPr>
        <xdr:cNvPr id="31" name="フローチャート : 代替処理 15"/>
        <xdr:cNvSpPr/>
      </xdr:nvSpPr>
      <xdr:spPr bwMode="auto">
        <a:xfrm>
          <a:off x="14062364" y="12742757"/>
          <a:ext cx="5102616" cy="796759"/>
        </a:xfrm>
        <a:prstGeom prst="flowChartAlternateProcess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132051</xdr:colOff>
      <xdr:row>34</xdr:row>
      <xdr:rowOff>209115</xdr:rowOff>
    </xdr:from>
    <xdr:to>
      <xdr:col>19</xdr:col>
      <xdr:colOff>1584614</xdr:colOff>
      <xdr:row>37</xdr:row>
      <xdr:rowOff>191796</xdr:rowOff>
    </xdr:to>
    <xdr:sp macro="" textlink="">
      <xdr:nvSpPr>
        <xdr:cNvPr id="32" name="テキスト ボックス 31"/>
        <xdr:cNvSpPr txBox="1"/>
      </xdr:nvSpPr>
      <xdr:spPr>
        <a:xfrm>
          <a:off x="14086176" y="12853553"/>
          <a:ext cx="5072063" cy="1125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「⑤対象預金の残高」欄に、積み期間の途中までの数値しか入力していない場合には、値が乖離します。</a:t>
          </a:r>
        </a:p>
      </xdr:txBody>
    </xdr:sp>
    <xdr:clientData/>
  </xdr:twoCellAnchor>
  <xdr:twoCellAnchor>
    <xdr:from>
      <xdr:col>22</xdr:col>
      <xdr:colOff>277091</xdr:colOff>
      <xdr:row>39</xdr:row>
      <xdr:rowOff>59915</xdr:rowOff>
    </xdr:from>
    <xdr:to>
      <xdr:col>27</xdr:col>
      <xdr:colOff>100852</xdr:colOff>
      <xdr:row>41</xdr:row>
      <xdr:rowOff>381000</xdr:rowOff>
    </xdr:to>
    <xdr:sp macro="" textlink="">
      <xdr:nvSpPr>
        <xdr:cNvPr id="33" name="角丸四角形 32"/>
        <xdr:cNvSpPr/>
      </xdr:nvSpPr>
      <xdr:spPr>
        <a:xfrm>
          <a:off x="21457227" y="14918915"/>
          <a:ext cx="4932625" cy="1117721"/>
        </a:xfrm>
        <a:prstGeom prst="roundRect">
          <a:avLst>
            <a:gd name="adj" fmla="val 19128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69276</xdr:colOff>
      <xdr:row>39</xdr:row>
      <xdr:rowOff>138545</xdr:rowOff>
    </xdr:from>
    <xdr:to>
      <xdr:col>27</xdr:col>
      <xdr:colOff>103911</xdr:colOff>
      <xdr:row>41</xdr:row>
      <xdr:rowOff>363683</xdr:rowOff>
    </xdr:to>
    <xdr:sp macro="" textlink="">
      <xdr:nvSpPr>
        <xdr:cNvPr id="34" name="テキスト ボックス 33"/>
        <xdr:cNvSpPr txBox="1"/>
      </xdr:nvSpPr>
      <xdr:spPr>
        <a:xfrm>
          <a:off x="21543821" y="14997545"/>
          <a:ext cx="4849090" cy="1021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マクロ加算残高の上限値</a:t>
          </a:r>
          <a:r>
            <a:rPr kumimoji="1" lang="en-US" altLang="ja-JP" sz="1600" b="1">
              <a:solidFill>
                <a:srgbClr val="FF0000"/>
              </a:solidFill>
            </a:rPr>
            <a:t>【ⅹ】</a:t>
          </a:r>
          <a:r>
            <a:rPr kumimoji="1" lang="ja-JP" altLang="en-US" sz="1600"/>
            <a:t>が約</a:t>
          </a:r>
          <a:r>
            <a:rPr kumimoji="1" lang="ja-JP" altLang="en-US" sz="1600">
              <a:solidFill>
                <a:sysClr val="windowText" lastClr="000000"/>
              </a:solidFill>
            </a:rPr>
            <a:t>３１６億</a:t>
          </a:r>
          <a:r>
            <a:rPr kumimoji="1" lang="ja-JP" altLang="en-US" sz="1600"/>
            <a:t>円に対し、利用実績</a:t>
          </a:r>
          <a:r>
            <a:rPr kumimoji="1" lang="en-US" altLang="ja-JP" sz="1600">
              <a:solidFill>
                <a:srgbClr val="FF0000"/>
              </a:solidFill>
            </a:rPr>
            <a:t>【ⅶ】</a:t>
          </a:r>
          <a:r>
            <a:rPr kumimoji="1" lang="ja-JP" altLang="en-US" sz="1600"/>
            <a:t>が約１４５億円となっており、利用実績が５０％未満であるため、「</a:t>
          </a:r>
          <a:r>
            <a:rPr kumimoji="1" lang="ja-JP" altLang="en-US" sz="1600">
              <a:solidFill>
                <a:srgbClr val="FF0000"/>
              </a:solidFill>
            </a:rPr>
            <a:t>○</a:t>
          </a:r>
          <a:r>
            <a:rPr kumimoji="1" lang="ja-JP" altLang="en-US" sz="1600"/>
            <a:t>」が表示されています。</a:t>
          </a:r>
        </a:p>
        <a:p>
          <a:endParaRPr kumimoji="1" lang="ja-JP" altLang="en-US" sz="1600"/>
        </a:p>
      </xdr:txBody>
    </xdr:sp>
    <xdr:clientData/>
  </xdr:twoCellAnchor>
  <xdr:twoCellAnchor>
    <xdr:from>
      <xdr:col>23</xdr:col>
      <xdr:colOff>69274</xdr:colOff>
      <xdr:row>37</xdr:row>
      <xdr:rowOff>34636</xdr:rowOff>
    </xdr:from>
    <xdr:to>
      <xdr:col>27</xdr:col>
      <xdr:colOff>51955</xdr:colOff>
      <xdr:row>38</xdr:row>
      <xdr:rowOff>346363</xdr:rowOff>
    </xdr:to>
    <xdr:sp macro="" textlink="">
      <xdr:nvSpPr>
        <xdr:cNvPr id="35" name="角丸四角形 34"/>
        <xdr:cNvSpPr/>
      </xdr:nvSpPr>
      <xdr:spPr>
        <a:xfrm>
          <a:off x="21543819" y="14097000"/>
          <a:ext cx="4797136" cy="710045"/>
        </a:xfrm>
        <a:prstGeom prst="round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8100">
          <a:solidFill>
            <a:srgbClr val="FF0000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L43"/>
  <sheetViews>
    <sheetView tabSelected="1" view="pageBreakPreview" zoomScale="70" zoomScaleNormal="100" zoomScaleSheetLayoutView="70" workbookViewId="0">
      <selection sqref="A1:XFD1048576"/>
    </sheetView>
  </sheetViews>
  <sheetFormatPr defaultColWidth="9.58203125" defaultRowHeight="14" x14ac:dyDescent="0.2"/>
  <cols>
    <col min="1" max="16384" width="9.58203125" style="131"/>
  </cols>
  <sheetData>
    <row r="1" spans="1:12" ht="15.5" x14ac:dyDescent="0.2">
      <c r="A1" s="129"/>
      <c r="B1" s="129"/>
      <c r="C1" s="129"/>
      <c r="D1" s="129"/>
      <c r="E1" s="129"/>
      <c r="F1" s="129"/>
      <c r="G1" s="129"/>
      <c r="H1" s="129"/>
      <c r="I1" s="130"/>
      <c r="J1" s="130"/>
      <c r="K1" s="153"/>
      <c r="L1" s="153"/>
    </row>
    <row r="2" spans="1: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53"/>
      <c r="L2" s="153"/>
    </row>
    <row r="3" spans="1:12" ht="30" customHeight="1" x14ac:dyDescent="0.2">
      <c r="A3" s="152" t="s">
        <v>10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4.5" thickBot="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7.25" customHeight="1" x14ac:dyDescent="0.2">
      <c r="A5" s="143" t="s">
        <v>107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</row>
    <row r="6" spans="1:12" ht="17.25" customHeight="1" x14ac:dyDescent="0.2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1:12" ht="17.25" customHeight="1" x14ac:dyDescent="0.2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8"/>
    </row>
    <row r="8" spans="1:12" ht="17.25" customHeight="1" x14ac:dyDescent="0.2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1:12" ht="17.25" customHeight="1" x14ac:dyDescent="0.2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1:12" ht="17.25" customHeight="1" x14ac:dyDescent="0.2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1:12" ht="17.25" customHeight="1" x14ac:dyDescent="0.2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1:12" ht="17.25" customHeight="1" x14ac:dyDescent="0.2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8"/>
    </row>
    <row r="13" spans="1:12" ht="17.25" customHeight="1" x14ac:dyDescent="0.2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8"/>
    </row>
    <row r="14" spans="1:12" ht="17.25" customHeight="1" x14ac:dyDescent="0.2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8"/>
    </row>
    <row r="15" spans="1:12" ht="17.25" customHeight="1" x14ac:dyDescent="0.2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8"/>
    </row>
    <row r="16" spans="1:12" ht="17.25" customHeight="1" x14ac:dyDescent="0.2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8"/>
    </row>
    <row r="17" spans="1:12" ht="17.25" customHeight="1" x14ac:dyDescent="0.2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8"/>
    </row>
    <row r="18" spans="1:12" ht="17.25" customHeight="1" x14ac:dyDescent="0.2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8"/>
    </row>
    <row r="19" spans="1:12" ht="17.25" customHeight="1" x14ac:dyDescent="0.2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8"/>
    </row>
    <row r="20" spans="1:12" ht="17.25" customHeight="1" x14ac:dyDescent="0.2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8"/>
    </row>
    <row r="21" spans="1:12" ht="17.25" customHeight="1" x14ac:dyDescent="0.2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8"/>
    </row>
    <row r="22" spans="1:12" ht="17.25" customHeight="1" x14ac:dyDescent="0.2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8"/>
    </row>
    <row r="23" spans="1:12" ht="17.25" customHeight="1" x14ac:dyDescent="0.2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8"/>
    </row>
    <row r="24" spans="1:12" ht="17.25" customHeight="1" x14ac:dyDescent="0.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8"/>
    </row>
    <row r="25" spans="1:12" ht="17.25" customHeight="1" x14ac:dyDescent="0.2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8"/>
    </row>
    <row r="26" spans="1:12" ht="17.25" customHeight="1" x14ac:dyDescent="0.2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8"/>
    </row>
    <row r="27" spans="1:12" ht="17.25" customHeight="1" thickBot="1" x14ac:dyDescent="0.2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1"/>
    </row>
    <row r="28" spans="1:12" x14ac:dyDescent="0.2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22.5" customHeight="1" x14ac:dyDescent="0.2">
      <c r="A29" s="132" t="s">
        <v>82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ht="27.75" customHeight="1" x14ac:dyDescent="0.2">
      <c r="A30" s="133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ht="27.75" customHeight="1" x14ac:dyDescent="0.2">
      <c r="A31" s="134"/>
      <c r="B31" s="135"/>
      <c r="C31" s="135"/>
      <c r="D31" s="135"/>
      <c r="E31" s="135"/>
      <c r="F31" s="135"/>
      <c r="G31" s="135"/>
      <c r="H31" s="135"/>
      <c r="I31" s="135"/>
      <c r="J31" s="136"/>
      <c r="K31" s="129"/>
      <c r="L31" s="129"/>
    </row>
    <row r="32" spans="1:12" ht="27.75" customHeight="1" x14ac:dyDescent="0.2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29"/>
      <c r="L32" s="129"/>
    </row>
    <row r="33" spans="1:12" ht="27.75" customHeight="1" x14ac:dyDescent="0.2">
      <c r="A33" s="129"/>
      <c r="B33" s="136"/>
      <c r="C33" s="136"/>
      <c r="D33" s="136"/>
      <c r="E33" s="136"/>
      <c r="F33" s="136"/>
      <c r="G33" s="136"/>
      <c r="H33" s="136"/>
      <c r="I33" s="136"/>
      <c r="J33" s="136"/>
      <c r="K33" s="129"/>
      <c r="L33" s="129"/>
    </row>
    <row r="34" spans="1:12" ht="27.75" customHeight="1" x14ac:dyDescent="0.2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29"/>
      <c r="L34" s="129"/>
    </row>
    <row r="35" spans="1:12" s="139" customFormat="1" ht="27.75" customHeight="1" x14ac:dyDescent="0.2">
      <c r="A35" s="134"/>
      <c r="B35" s="138"/>
      <c r="C35" s="138"/>
      <c r="D35" s="138"/>
      <c r="E35" s="138"/>
      <c r="F35" s="138"/>
      <c r="G35" s="138"/>
      <c r="H35" s="138"/>
      <c r="I35" s="138"/>
      <c r="J35" s="136"/>
      <c r="K35" s="129"/>
      <c r="L35" s="129"/>
    </row>
    <row r="36" spans="1:12" ht="27.75" customHeight="1" x14ac:dyDescent="0.2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</row>
    <row r="37" spans="1:12" ht="27.75" customHeight="1" x14ac:dyDescent="0.2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2" ht="27.75" customHeight="1" x14ac:dyDescent="0.2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</row>
    <row r="39" spans="1:12" ht="27.75" customHeight="1" x14ac:dyDescent="0.2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</row>
    <row r="40" spans="1:12" ht="27.75" customHeight="1" x14ac:dyDescent="0.2">
      <c r="A40" s="140"/>
      <c r="B40" s="140"/>
      <c r="C40" s="140"/>
      <c r="D40" s="129"/>
      <c r="E40" s="129"/>
      <c r="F40" s="129"/>
      <c r="G40" s="129"/>
      <c r="H40" s="129"/>
      <c r="I40" s="129"/>
      <c r="J40" s="129"/>
      <c r="K40" s="129"/>
      <c r="L40" s="129"/>
    </row>
    <row r="41" spans="1:12" ht="16.5" x14ac:dyDescent="0.2">
      <c r="A41" s="141" t="s">
        <v>13</v>
      </c>
      <c r="B41" s="141"/>
      <c r="C41" s="141"/>
      <c r="D41" s="142"/>
      <c r="E41" s="142"/>
      <c r="F41" s="142"/>
      <c r="G41" s="142"/>
      <c r="H41" s="129"/>
      <c r="I41" s="129"/>
      <c r="J41" s="129"/>
      <c r="K41" s="129"/>
      <c r="L41" s="129"/>
    </row>
    <row r="42" spans="1:12" ht="16.5" x14ac:dyDescent="0.2">
      <c r="A42" s="141" t="s">
        <v>11</v>
      </c>
      <c r="B42" s="141"/>
      <c r="C42" s="141"/>
      <c r="D42" s="142"/>
      <c r="E42" s="142"/>
      <c r="F42" s="142"/>
      <c r="G42" s="142"/>
      <c r="H42" s="129"/>
      <c r="I42" s="129"/>
      <c r="J42" s="129"/>
      <c r="K42" s="129"/>
      <c r="L42" s="129"/>
    </row>
    <row r="43" spans="1:12" ht="16.5" x14ac:dyDescent="0.2">
      <c r="A43" s="141" t="s">
        <v>110</v>
      </c>
      <c r="B43" s="141"/>
      <c r="C43" s="141"/>
      <c r="D43" s="142"/>
      <c r="E43" s="142"/>
      <c r="F43" s="142"/>
      <c r="G43" s="142"/>
      <c r="H43" s="129"/>
      <c r="I43" s="129"/>
      <c r="J43" s="129"/>
      <c r="K43" s="129"/>
      <c r="L43" s="129"/>
    </row>
  </sheetData>
  <sheetProtection algorithmName="SHA-512" hashValue="33GhvMXQLhW/kAK9fxk5XT37tL89PBxxVmMzT42ltSopB/4sk0EcA83Ai3eC2zJzDadZPZuu7ehJ5XM9p4B8GA==" saltValue="nvLxCzlZCam6/dPjsKlqSQ==" spinCount="100000" sheet="1" selectLockedCells="1" selectUnlockedCells="1"/>
  <mergeCells count="3">
    <mergeCell ref="A5:L27"/>
    <mergeCell ref="A3:L3"/>
    <mergeCell ref="K1:L2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AD59"/>
  <sheetViews>
    <sheetView view="pageBreakPreview" zoomScale="55" zoomScaleNormal="90" zoomScaleSheetLayoutView="55" workbookViewId="0">
      <selection sqref="A1:AB1"/>
    </sheetView>
  </sheetViews>
  <sheetFormatPr defaultColWidth="9" defaultRowHeight="22" customHeight="1" x14ac:dyDescent="0.2"/>
  <cols>
    <col min="1" max="1" width="1.5" style="1" customWidth="1"/>
    <col min="2" max="2" width="8" style="1" customWidth="1"/>
    <col min="3" max="3" width="23.5" style="1" customWidth="1"/>
    <col min="4" max="4" width="23.58203125" style="1" customWidth="1"/>
    <col min="5" max="5" width="23.58203125" style="1" hidden="1" customWidth="1"/>
    <col min="6" max="6" width="23.58203125" style="1" customWidth="1"/>
    <col min="7" max="8" width="17.58203125" style="1" hidden="1" customWidth="1"/>
    <col min="9" max="9" width="23.58203125" style="1" customWidth="1"/>
    <col min="10" max="10" width="17.33203125" style="1" hidden="1" customWidth="1"/>
    <col min="11" max="11" width="17.58203125" style="1" hidden="1" customWidth="1"/>
    <col min="12" max="12" width="23.58203125" style="1" customWidth="1"/>
    <col min="13" max="14" width="17.33203125" style="1" hidden="1" customWidth="1"/>
    <col min="15" max="15" width="3.58203125" style="4" customWidth="1"/>
    <col min="16" max="16" width="23.58203125" style="1" customWidth="1"/>
    <col min="17" max="17" width="3.58203125" style="4" customWidth="1"/>
    <col min="18" max="21" width="23.58203125" style="1" customWidth="1"/>
    <col min="22" max="22" width="1.33203125" style="1" customWidth="1"/>
    <col min="23" max="23" width="3.75" style="1" customWidth="1"/>
    <col min="24" max="24" width="1.58203125" style="1" customWidth="1"/>
    <col min="25" max="25" width="12.75" style="1" customWidth="1"/>
    <col min="26" max="26" width="25" style="1" customWidth="1"/>
    <col min="27" max="27" width="23.75" style="1" customWidth="1"/>
    <col min="28" max="28" width="3.75" style="9" customWidth="1"/>
    <col min="29" max="29" width="4.33203125" style="1" customWidth="1"/>
    <col min="30" max="16384" width="9" style="1"/>
  </cols>
  <sheetData>
    <row r="1" spans="1:29" s="30" customFormat="1" ht="48.75" customHeight="1" x14ac:dyDescent="0.2">
      <c r="A1" s="185" t="s">
        <v>108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29" s="30" customFormat="1" ht="33" thickBot="1" x14ac:dyDescent="0.25">
      <c r="A2" s="34"/>
      <c r="B2" s="61" t="s">
        <v>89</v>
      </c>
      <c r="C2" s="58"/>
      <c r="D2" s="36"/>
      <c r="E2" s="36"/>
      <c r="F2" s="36"/>
      <c r="G2" s="34"/>
      <c r="H2" s="34"/>
      <c r="I2" s="62" t="s">
        <v>84</v>
      </c>
      <c r="J2" s="37"/>
      <c r="K2" s="37"/>
      <c r="L2" s="37"/>
      <c r="M2" s="37"/>
      <c r="N2" s="37"/>
      <c r="O2" s="37"/>
      <c r="P2" s="37"/>
      <c r="Q2" s="37"/>
      <c r="R2" s="63" t="s">
        <v>93</v>
      </c>
      <c r="S2" s="39"/>
      <c r="T2" s="40"/>
      <c r="U2" s="40"/>
      <c r="V2" s="40"/>
      <c r="W2" s="40"/>
      <c r="X2" s="40"/>
      <c r="Y2" s="40"/>
      <c r="Z2" s="40"/>
      <c r="AA2" s="40"/>
      <c r="AB2" s="40"/>
      <c r="AC2" s="76"/>
    </row>
    <row r="3" spans="1:29" ht="20.5" thickBot="1" x14ac:dyDescent="0.25">
      <c r="B3" s="60" t="s">
        <v>14</v>
      </c>
      <c r="D3" s="112">
        <v>31</v>
      </c>
      <c r="E3" s="31" t="s">
        <v>0</v>
      </c>
      <c r="F3" s="31"/>
      <c r="I3" s="60" t="s">
        <v>85</v>
      </c>
      <c r="J3" s="106"/>
      <c r="K3" s="106"/>
      <c r="O3" s="113"/>
      <c r="P3" s="114">
        <v>2937173519873</v>
      </c>
      <c r="Q3" s="32" t="s">
        <v>6</v>
      </c>
      <c r="R3" s="65" t="s">
        <v>54</v>
      </c>
      <c r="S3" s="35"/>
      <c r="T3" s="38"/>
      <c r="V3" s="67" t="s">
        <v>72</v>
      </c>
      <c r="W3" s="67"/>
      <c r="X3" s="67"/>
      <c r="Y3" s="67"/>
      <c r="Z3" s="67"/>
      <c r="AC3" s="8"/>
    </row>
    <row r="4" spans="1:29" ht="20.5" thickBot="1" x14ac:dyDescent="0.25">
      <c r="B4" s="60" t="s">
        <v>15</v>
      </c>
      <c r="D4" s="115">
        <v>84394854</v>
      </c>
      <c r="E4" s="31" t="s">
        <v>6</v>
      </c>
      <c r="F4" s="31"/>
      <c r="I4" s="59" t="s">
        <v>86</v>
      </c>
      <c r="J4" s="106"/>
      <c r="K4" s="106"/>
      <c r="O4" s="113"/>
      <c r="P4" s="116">
        <v>100000000</v>
      </c>
      <c r="Q4" s="32" t="s">
        <v>6</v>
      </c>
      <c r="R4" s="66" t="s">
        <v>94</v>
      </c>
      <c r="S4" s="41"/>
      <c r="T4" s="117">
        <v>1000000000</v>
      </c>
      <c r="U4" s="33" t="s">
        <v>6</v>
      </c>
      <c r="V4" s="66" t="s">
        <v>99</v>
      </c>
      <c r="W4" s="67"/>
      <c r="X4" s="67"/>
      <c r="Y4" s="67"/>
      <c r="Z4" s="67"/>
      <c r="AA4" s="118" t="s">
        <v>80</v>
      </c>
      <c r="AB4" s="33"/>
      <c r="AC4" s="4"/>
    </row>
    <row r="5" spans="1:29" ht="20.5" thickBot="1" x14ac:dyDescent="0.25">
      <c r="B5" s="60" t="s">
        <v>16</v>
      </c>
      <c r="D5" s="119">
        <v>30.5</v>
      </c>
      <c r="E5" s="31" t="s">
        <v>1</v>
      </c>
      <c r="F5" s="31"/>
      <c r="I5" s="27"/>
      <c r="J5" s="26"/>
      <c r="K5" s="26"/>
      <c r="L5" s="28"/>
      <c r="M5" s="26"/>
      <c r="N5" s="26"/>
      <c r="O5" s="11"/>
      <c r="R5" s="66" t="s">
        <v>49</v>
      </c>
      <c r="S5" s="41"/>
      <c r="T5" s="23"/>
      <c r="V5" s="67" t="s">
        <v>73</v>
      </c>
      <c r="W5" s="9"/>
      <c r="X5" s="9"/>
      <c r="Y5" s="9"/>
      <c r="Z5" s="9"/>
      <c r="AA5" s="9"/>
      <c r="AC5" s="4"/>
    </row>
    <row r="6" spans="1:29" ht="20.5" thickBot="1" x14ac:dyDescent="0.25">
      <c r="B6" s="64" t="s">
        <v>17</v>
      </c>
      <c r="D6" s="120">
        <v>100</v>
      </c>
      <c r="E6" s="31" t="s">
        <v>1</v>
      </c>
      <c r="F6" s="31"/>
      <c r="G6" s="26"/>
      <c r="H6" s="26"/>
      <c r="I6" s="27"/>
      <c r="J6" s="26"/>
      <c r="K6" s="26"/>
      <c r="L6" s="28"/>
      <c r="M6" s="26"/>
      <c r="N6" s="26"/>
      <c r="O6" s="11"/>
      <c r="R6" s="66" t="s">
        <v>95</v>
      </c>
      <c r="S6" s="41"/>
      <c r="T6" s="117">
        <v>100000000</v>
      </c>
      <c r="U6" s="33" t="s">
        <v>6</v>
      </c>
      <c r="V6" s="66" t="s">
        <v>100</v>
      </c>
      <c r="W6" s="67"/>
      <c r="X6" s="67"/>
      <c r="Y6" s="67"/>
      <c r="Z6" s="67"/>
      <c r="AA6" s="117">
        <v>3000000000</v>
      </c>
      <c r="AB6" s="33" t="s">
        <v>6</v>
      </c>
      <c r="AC6" s="4"/>
    </row>
    <row r="7" spans="1:29" s="9" customFormat="1" ht="29.25" customHeight="1" thickBot="1" x14ac:dyDescent="0.25">
      <c r="B7" s="64"/>
      <c r="D7" s="121"/>
      <c r="E7" s="121"/>
      <c r="F7" s="33"/>
      <c r="G7" s="26"/>
      <c r="H7" s="26"/>
      <c r="I7" s="27"/>
      <c r="J7" s="26"/>
      <c r="K7" s="26"/>
      <c r="L7" s="28"/>
      <c r="M7" s="26"/>
      <c r="N7" s="26"/>
      <c r="O7" s="11"/>
      <c r="Q7" s="4"/>
      <c r="R7" s="67" t="s">
        <v>50</v>
      </c>
      <c r="S7" s="67"/>
      <c r="T7" s="67"/>
      <c r="U7" s="67"/>
    </row>
    <row r="8" spans="1:29" s="9" customFormat="1" ht="29.25" customHeight="1" x14ac:dyDescent="0.2">
      <c r="B8" s="64"/>
      <c r="D8" s="121"/>
      <c r="E8" s="121"/>
      <c r="F8" s="33"/>
      <c r="G8" s="26"/>
      <c r="H8" s="26"/>
      <c r="I8" s="27"/>
      <c r="J8" s="26"/>
      <c r="K8" s="26"/>
      <c r="L8" s="28"/>
      <c r="M8" s="26"/>
      <c r="N8" s="26"/>
      <c r="O8" s="11"/>
      <c r="Q8" s="4"/>
      <c r="R8" s="66" t="s">
        <v>96</v>
      </c>
      <c r="S8" s="67"/>
      <c r="T8" s="122"/>
      <c r="U8" s="33" t="s">
        <v>6</v>
      </c>
    </row>
    <row r="9" spans="1:29" s="9" customFormat="1" ht="29.25" customHeight="1" thickBot="1" x14ac:dyDescent="0.25">
      <c r="B9" s="64"/>
      <c r="D9" s="121"/>
      <c r="E9" s="121"/>
      <c r="F9" s="33"/>
      <c r="G9" s="26"/>
      <c r="H9" s="26"/>
      <c r="I9" s="27"/>
      <c r="J9" s="26"/>
      <c r="K9" s="26"/>
      <c r="L9" s="28"/>
      <c r="M9" s="26"/>
      <c r="N9" s="26"/>
      <c r="O9" s="11"/>
      <c r="Q9" s="4"/>
      <c r="R9" s="66" t="s">
        <v>97</v>
      </c>
      <c r="S9" s="67"/>
      <c r="T9" s="123"/>
      <c r="U9" s="33" t="s">
        <v>12</v>
      </c>
    </row>
    <row r="10" spans="1:29" s="9" customFormat="1" ht="0.75" customHeight="1" x14ac:dyDescent="0.2">
      <c r="B10" s="64"/>
      <c r="D10" s="121"/>
      <c r="E10" s="121"/>
      <c r="F10" s="33"/>
      <c r="G10" s="26"/>
      <c r="H10" s="26"/>
      <c r="I10" s="27"/>
      <c r="J10" s="26"/>
      <c r="K10" s="26"/>
      <c r="L10" s="28"/>
      <c r="M10" s="26"/>
      <c r="N10" s="26"/>
      <c r="O10" s="11"/>
      <c r="Q10" s="4"/>
      <c r="R10" s="66"/>
      <c r="S10" s="67"/>
      <c r="T10" s="124"/>
      <c r="U10" s="33"/>
    </row>
    <row r="11" spans="1:29" s="9" customFormat="1" ht="29.25" customHeight="1" thickBot="1" x14ac:dyDescent="0.25">
      <c r="B11" s="64"/>
      <c r="D11" s="121"/>
      <c r="E11" s="121"/>
      <c r="F11" s="33"/>
      <c r="G11" s="26"/>
      <c r="H11" s="26"/>
      <c r="I11" s="27"/>
      <c r="J11" s="26"/>
      <c r="K11" s="26"/>
      <c r="L11" s="28"/>
      <c r="M11" s="26"/>
      <c r="N11" s="26"/>
      <c r="O11" s="11"/>
      <c r="Q11" s="4"/>
      <c r="V11" s="67"/>
      <c r="AC11" s="4"/>
    </row>
    <row r="12" spans="1:29" ht="24" customHeight="1" x14ac:dyDescent="0.2">
      <c r="C12" s="20"/>
      <c r="D12" s="22"/>
      <c r="E12" s="22"/>
      <c r="F12" s="21"/>
      <c r="G12" s="21"/>
      <c r="H12" s="21"/>
      <c r="I12" s="20"/>
      <c r="J12" s="19"/>
      <c r="K12" s="19"/>
      <c r="L12" s="21"/>
      <c r="M12" s="21"/>
      <c r="N12" s="21"/>
      <c r="O12" s="5"/>
      <c r="P12" s="20"/>
      <c r="Q12" s="5"/>
      <c r="U12" s="54" t="s">
        <v>7</v>
      </c>
      <c r="W12" s="44"/>
      <c r="X12" s="164" t="s">
        <v>56</v>
      </c>
      <c r="Y12" s="164"/>
      <c r="Z12" s="164"/>
      <c r="AA12" s="164"/>
      <c r="AB12" s="45"/>
      <c r="AC12" s="8"/>
    </row>
    <row r="13" spans="1:29" ht="29.25" customHeight="1" thickBot="1" x14ac:dyDescent="0.25">
      <c r="B13" s="186" t="s">
        <v>2</v>
      </c>
      <c r="C13" s="187" t="s">
        <v>71</v>
      </c>
      <c r="D13" s="190" t="s">
        <v>81</v>
      </c>
      <c r="E13" s="111" t="s">
        <v>83</v>
      </c>
      <c r="F13" s="190" t="s">
        <v>70</v>
      </c>
      <c r="G13" s="42"/>
      <c r="H13" s="43"/>
      <c r="I13" s="193" t="s">
        <v>69</v>
      </c>
      <c r="J13" s="42"/>
      <c r="K13" s="43"/>
      <c r="L13" s="196" t="s">
        <v>68</v>
      </c>
      <c r="M13" s="42"/>
      <c r="N13" s="43"/>
      <c r="O13" s="12"/>
      <c r="P13" s="196" t="s">
        <v>79</v>
      </c>
      <c r="Q13" s="6"/>
      <c r="R13" s="198" t="s">
        <v>78</v>
      </c>
      <c r="S13" s="199"/>
      <c r="T13" s="199"/>
      <c r="U13" s="200"/>
      <c r="W13" s="57"/>
      <c r="X13" s="165"/>
      <c r="Y13" s="165"/>
      <c r="Z13" s="165"/>
      <c r="AA13" s="165"/>
      <c r="AB13" s="47"/>
      <c r="AC13" s="8"/>
    </row>
    <row r="14" spans="1:29" ht="29.25" customHeight="1" x14ac:dyDescent="0.2">
      <c r="B14" s="186"/>
      <c r="C14" s="188"/>
      <c r="D14" s="191"/>
      <c r="E14" s="201" t="s">
        <v>87</v>
      </c>
      <c r="F14" s="191"/>
      <c r="G14" s="172" t="s">
        <v>3</v>
      </c>
      <c r="H14" s="172" t="s">
        <v>9</v>
      </c>
      <c r="I14" s="194"/>
      <c r="J14" s="172" t="s">
        <v>4</v>
      </c>
      <c r="K14" s="172" t="s">
        <v>9</v>
      </c>
      <c r="L14" s="197"/>
      <c r="M14" s="183" t="s">
        <v>5</v>
      </c>
      <c r="N14" s="172" t="s">
        <v>9</v>
      </c>
      <c r="O14" s="10"/>
      <c r="P14" s="196"/>
      <c r="Q14" s="29"/>
      <c r="R14" s="174" t="s">
        <v>51</v>
      </c>
      <c r="S14" s="176" t="s">
        <v>98</v>
      </c>
      <c r="T14" s="176" t="s">
        <v>55</v>
      </c>
      <c r="U14" s="176" t="s">
        <v>77</v>
      </c>
      <c r="W14" s="46"/>
      <c r="X14" s="179" t="s">
        <v>67</v>
      </c>
      <c r="Y14" s="180"/>
      <c r="Z14" s="180"/>
      <c r="AA14" s="170">
        <f>$C$48</f>
        <v>273954146079</v>
      </c>
      <c r="AB14" s="47"/>
    </row>
    <row r="15" spans="1:29" ht="30" customHeight="1" thickBot="1" x14ac:dyDescent="0.25">
      <c r="B15" s="186"/>
      <c r="C15" s="189"/>
      <c r="D15" s="192"/>
      <c r="E15" s="202"/>
      <c r="F15" s="192"/>
      <c r="G15" s="173"/>
      <c r="H15" s="173"/>
      <c r="I15" s="195"/>
      <c r="J15" s="173"/>
      <c r="K15" s="173"/>
      <c r="L15" s="197"/>
      <c r="M15" s="184"/>
      <c r="N15" s="173"/>
      <c r="O15" s="10"/>
      <c r="P15" s="196"/>
      <c r="Q15" s="29"/>
      <c r="R15" s="175"/>
      <c r="S15" s="177"/>
      <c r="T15" s="178"/>
      <c r="U15" s="178"/>
      <c r="W15" s="46"/>
      <c r="X15" s="181"/>
      <c r="Y15" s="182"/>
      <c r="Z15" s="182"/>
      <c r="AA15" s="171"/>
      <c r="AB15" s="47"/>
    </row>
    <row r="16" spans="1:29" ht="30.75" customHeight="1" x14ac:dyDescent="0.2">
      <c r="B16" s="68" t="s">
        <v>19</v>
      </c>
      <c r="C16" s="125">
        <v>6934004712</v>
      </c>
      <c r="D16" s="125">
        <v>400000000</v>
      </c>
      <c r="E16" s="125">
        <v>0</v>
      </c>
      <c r="F16" s="87">
        <f>IF(C16="","",$D$4)</f>
        <v>84394854</v>
      </c>
      <c r="G16" s="100">
        <f>MIN(C16,$D$4)</f>
        <v>84394854</v>
      </c>
      <c r="H16" s="100">
        <f>F16-G16</f>
        <v>0</v>
      </c>
      <c r="I16" s="88">
        <f>IF(C16="","",MAX(ROUNDDOWN($P$3/365,0)-$D$4,0))</f>
        <v>7962655885</v>
      </c>
      <c r="J16" s="100">
        <f>MAX(MIN(C16-G16,ROUNDDOWN($P$3/365,0)-G16),0)</f>
        <v>6849609858</v>
      </c>
      <c r="K16" s="100">
        <f>I16-J16</f>
        <v>1113046027</v>
      </c>
      <c r="L16" s="88">
        <f>IF(C16="","",$R16+$D16+$S16+$T16-$U16)</f>
        <v>2368182212</v>
      </c>
      <c r="M16" s="101">
        <f>MAX(MIN(C16-G16-J16,R16+D16+S16+T16-U16),0)</f>
        <v>0</v>
      </c>
      <c r="N16" s="101">
        <f>L16-M16</f>
        <v>2368182212</v>
      </c>
      <c r="O16" s="14"/>
      <c r="P16" s="97">
        <f>IF(C16="","",MAX(C16-(F16+I16+L16),0))</f>
        <v>0</v>
      </c>
      <c r="Q16" s="15"/>
      <c r="R16" s="92">
        <f>IF(C16="","",ROUNDDOWN(ROUNDDOWN($P$3/365,0)*$D$5/100,0)+IFERROR(ROUNDDOWN(ROUNDDOWN(T$8/T$9,0)*$D$5/100,0),0))</f>
        <v>2454350475</v>
      </c>
      <c r="S16" s="92">
        <f>IF(C16="","",ROUNDDOWN((MAX(D16-E16-$P$4,0)*$D$6/100),0))</f>
        <v>300000000</v>
      </c>
      <c r="T16" s="88">
        <f>IF(C16="","",ROUNDDOWN($T$4/$D$3,0)+$T$6)</f>
        <v>132258064</v>
      </c>
      <c r="U16" s="97">
        <f>IF(C16="","",IF($AA$4="○",ROUNDDOWN((R16+D16+S16+T16)*25/100,0)+ROUNDDOWN(AA$6/$D$3,0),ROUNDDOWN(AA$6/$D$3,0)))</f>
        <v>918426327</v>
      </c>
      <c r="V16" s="2"/>
      <c r="W16" s="46"/>
      <c r="X16" s="72"/>
      <c r="Y16" s="166" t="s">
        <v>74</v>
      </c>
      <c r="Z16" s="167"/>
      <c r="AA16" s="170">
        <f>$G$48</f>
        <v>2616240474</v>
      </c>
      <c r="AB16" s="47"/>
    </row>
    <row r="17" spans="2:30" ht="30.75" customHeight="1" thickBot="1" x14ac:dyDescent="0.25">
      <c r="B17" s="68" t="s">
        <v>20</v>
      </c>
      <c r="C17" s="115">
        <v>8934004712</v>
      </c>
      <c r="D17" s="115">
        <v>400000000</v>
      </c>
      <c r="E17" s="115">
        <v>0</v>
      </c>
      <c r="F17" s="87">
        <f>IF(C17="","",$D$4)</f>
        <v>84394854</v>
      </c>
      <c r="G17" s="100">
        <f>MIN(C17,$D$4)</f>
        <v>84394854</v>
      </c>
      <c r="H17" s="100">
        <f>F17-G17</f>
        <v>0</v>
      </c>
      <c r="I17" s="88">
        <f>IF(C17="","",MAX(ROUNDDOWN($P$3/365,0)-$D$4,0))</f>
        <v>7962655885</v>
      </c>
      <c r="J17" s="100">
        <f>MAX(MIN(C17-G17,ROUNDDOWN($P$3/365,0)-G17),0)</f>
        <v>7962655885</v>
      </c>
      <c r="K17" s="100">
        <f>I17-J17</f>
        <v>0</v>
      </c>
      <c r="L17" s="88">
        <f>IF(C17="","",R17+D17+S17+T17-U17)</f>
        <v>2368182212</v>
      </c>
      <c r="M17" s="101">
        <f>MAX(MIN(C17-G17-J17,R17+D17+S17+T17-U17),0)</f>
        <v>886953973</v>
      </c>
      <c r="N17" s="101">
        <f t="shared" ref="N17:N46" si="0">L17-M17</f>
        <v>1481228239</v>
      </c>
      <c r="O17" s="14"/>
      <c r="P17" s="97">
        <f>IF(C17="","",MAX(C17-(F17+I17+L17),0))</f>
        <v>0</v>
      </c>
      <c r="Q17" s="15"/>
      <c r="R17" s="92">
        <f>IF(C17="","",ROUNDDOWN(ROUNDDOWN($P$3/365,0)*$D$5/100,0)+IFERROR(ROUNDDOWN(ROUNDDOWN(T$8/T$9,0)*$D$5/100,0),0))</f>
        <v>2454350475</v>
      </c>
      <c r="S17" s="92">
        <f t="shared" ref="S17:S46" si="1">IF(C17="","",ROUNDDOWN((MAX(D17-E17-$P$4,0)*$D$6/100),0))</f>
        <v>300000000</v>
      </c>
      <c r="T17" s="88">
        <f>IF(C17="","",ROUNDDOWN($T$4/$D$3,0)+$T$6)</f>
        <v>132258064</v>
      </c>
      <c r="U17" s="97">
        <f t="shared" ref="U17:U46" si="2">IF(C17="","",IF($AA$4="○",ROUNDDOWN((R17+D17+S17+T17)*25/100,0)+ROUNDDOWN(AA$6/$D$3,0),ROUNDDOWN(AA$6/$D$3,0)))</f>
        <v>918426327</v>
      </c>
      <c r="V17" s="2"/>
      <c r="W17" s="46"/>
      <c r="X17" s="72"/>
      <c r="Y17" s="168"/>
      <c r="Z17" s="169"/>
      <c r="AA17" s="171"/>
      <c r="AB17" s="47"/>
    </row>
    <row r="18" spans="2:30" ht="30.75" customHeight="1" x14ac:dyDescent="0.2">
      <c r="B18" s="68" t="s">
        <v>21</v>
      </c>
      <c r="C18" s="115">
        <v>8934004712</v>
      </c>
      <c r="D18" s="115">
        <v>400000000</v>
      </c>
      <c r="E18" s="115">
        <v>0</v>
      </c>
      <c r="F18" s="87">
        <f t="shared" ref="F18:F27" si="3">IF(C18="","",$D$4)</f>
        <v>84394854</v>
      </c>
      <c r="G18" s="100">
        <f t="shared" ref="G18:G28" si="4">MIN(C18,$D$4)</f>
        <v>84394854</v>
      </c>
      <c r="H18" s="100">
        <f t="shared" ref="H18:H46" si="5">F18-G18</f>
        <v>0</v>
      </c>
      <c r="I18" s="88">
        <f t="shared" ref="I18:I28" si="6">IF(C18="","",MAX(ROUNDDOWN($P$3/365,0)-$D$4,0))</f>
        <v>7962655885</v>
      </c>
      <c r="J18" s="100">
        <f t="shared" ref="J18:J28" si="7">MAX(MIN(C18-G18,ROUNDDOWN($P$3/365,0)-G18),0)</f>
        <v>7962655885</v>
      </c>
      <c r="K18" s="100">
        <f t="shared" ref="K18:K46" si="8">I18-J18</f>
        <v>0</v>
      </c>
      <c r="L18" s="88">
        <f t="shared" ref="L18:L28" si="9">IF(C18="","",R18+D18+S18+T18-U18)</f>
        <v>2368182212</v>
      </c>
      <c r="M18" s="101">
        <f>MAX(MIN(C18-G18-J18,R18+D18+S18+T18-U18),0)</f>
        <v>886953973</v>
      </c>
      <c r="N18" s="101">
        <f t="shared" si="0"/>
        <v>1481228239</v>
      </c>
      <c r="O18" s="14"/>
      <c r="P18" s="97">
        <f t="shared" ref="P18:P28" si="10">IF(C18="","",MAX(C18-(F18+I18+L18),0))</f>
        <v>0</v>
      </c>
      <c r="Q18" s="15"/>
      <c r="R18" s="92">
        <f t="shared" ref="R18:R28" si="11">IF(C18="","",ROUNDDOWN(ROUNDDOWN($P$3/365,0)*$D$5/100,0)+IFERROR(ROUNDDOWN(ROUNDDOWN(T$8/T$9,0)*$D$5/100,0),0))</f>
        <v>2454350475</v>
      </c>
      <c r="S18" s="92">
        <f t="shared" si="1"/>
        <v>300000000</v>
      </c>
      <c r="T18" s="88">
        <f t="shared" ref="T18:T28" si="12">IF(C18="","",ROUNDDOWN($T$4/$D$3,0)+$T$6)</f>
        <v>132258064</v>
      </c>
      <c r="U18" s="97">
        <f t="shared" si="2"/>
        <v>918426327</v>
      </c>
      <c r="V18" s="2"/>
      <c r="W18" s="46"/>
      <c r="X18" s="72"/>
      <c r="Y18" s="166" t="s">
        <v>59</v>
      </c>
      <c r="Z18" s="167"/>
      <c r="AA18" s="170">
        <f>$J$48</f>
        <v>246842332446</v>
      </c>
      <c r="AB18" s="47"/>
    </row>
    <row r="19" spans="2:30" ht="30.75" customHeight="1" thickBot="1" x14ac:dyDescent="0.25">
      <c r="B19" s="68" t="s">
        <v>22</v>
      </c>
      <c r="C19" s="115">
        <v>8934004712</v>
      </c>
      <c r="D19" s="115">
        <v>400000000</v>
      </c>
      <c r="E19" s="115">
        <v>0</v>
      </c>
      <c r="F19" s="87">
        <f t="shared" si="3"/>
        <v>84394854</v>
      </c>
      <c r="G19" s="100">
        <f t="shared" si="4"/>
        <v>84394854</v>
      </c>
      <c r="H19" s="100">
        <f t="shared" si="5"/>
        <v>0</v>
      </c>
      <c r="I19" s="88">
        <f t="shared" si="6"/>
        <v>7962655885</v>
      </c>
      <c r="J19" s="100">
        <f t="shared" si="7"/>
        <v>7962655885</v>
      </c>
      <c r="K19" s="100">
        <f t="shared" si="8"/>
        <v>0</v>
      </c>
      <c r="L19" s="88">
        <f t="shared" si="9"/>
        <v>2368182212</v>
      </c>
      <c r="M19" s="101">
        <f>MAX(MIN(C19-G19-J19,R19+D19+S19+T19-U19),0)</f>
        <v>886953973</v>
      </c>
      <c r="N19" s="101">
        <f t="shared" si="0"/>
        <v>1481228239</v>
      </c>
      <c r="O19" s="14"/>
      <c r="P19" s="97">
        <f t="shared" si="10"/>
        <v>0</v>
      </c>
      <c r="Q19" s="15"/>
      <c r="R19" s="92">
        <f t="shared" si="11"/>
        <v>2454350475</v>
      </c>
      <c r="S19" s="92">
        <f t="shared" si="1"/>
        <v>300000000</v>
      </c>
      <c r="T19" s="88">
        <f>IF(C19="","",ROUNDDOWN($T$4/$D$3,0)+$T$6)</f>
        <v>132258064</v>
      </c>
      <c r="U19" s="97">
        <f t="shared" si="2"/>
        <v>918426327</v>
      </c>
      <c r="V19" s="2"/>
      <c r="W19" s="46"/>
      <c r="X19" s="72"/>
      <c r="Y19" s="168"/>
      <c r="Z19" s="169"/>
      <c r="AA19" s="171"/>
      <c r="AB19" s="47"/>
      <c r="AD19" s="25"/>
    </row>
    <row r="20" spans="2:30" ht="30.75" customHeight="1" x14ac:dyDescent="0.2">
      <c r="B20" s="68" t="s">
        <v>23</v>
      </c>
      <c r="C20" s="115">
        <v>8934004712</v>
      </c>
      <c r="D20" s="115">
        <v>400000000</v>
      </c>
      <c r="E20" s="115">
        <v>0</v>
      </c>
      <c r="F20" s="87">
        <f t="shared" si="3"/>
        <v>84394854</v>
      </c>
      <c r="G20" s="100">
        <f>MIN(C20,$D$4)</f>
        <v>84394854</v>
      </c>
      <c r="H20" s="100">
        <f t="shared" si="5"/>
        <v>0</v>
      </c>
      <c r="I20" s="88">
        <f t="shared" si="6"/>
        <v>7962655885</v>
      </c>
      <c r="J20" s="100">
        <f>MAX(MIN(C20-G20,ROUNDDOWN($P$3/365,0)-G20),0)</f>
        <v>7962655885</v>
      </c>
      <c r="K20" s="100">
        <f t="shared" si="8"/>
        <v>0</v>
      </c>
      <c r="L20" s="88">
        <f t="shared" si="9"/>
        <v>2368182212</v>
      </c>
      <c r="M20" s="101">
        <f t="shared" ref="M20:M28" si="13">MAX(MIN(C20-G20-J20,R20+D20+S20+T20-U20),0)</f>
        <v>886953973</v>
      </c>
      <c r="N20" s="101">
        <f t="shared" si="0"/>
        <v>1481228239</v>
      </c>
      <c r="O20" s="14"/>
      <c r="P20" s="97">
        <f t="shared" si="10"/>
        <v>0</v>
      </c>
      <c r="Q20" s="15"/>
      <c r="R20" s="92">
        <f t="shared" si="11"/>
        <v>2454350475</v>
      </c>
      <c r="S20" s="92">
        <f t="shared" si="1"/>
        <v>300000000</v>
      </c>
      <c r="T20" s="88">
        <f t="shared" si="12"/>
        <v>132258064</v>
      </c>
      <c r="U20" s="97">
        <f t="shared" si="2"/>
        <v>918426327</v>
      </c>
      <c r="V20" s="2"/>
      <c r="W20" s="46"/>
      <c r="X20" s="72"/>
      <c r="Y20" s="166" t="s">
        <v>60</v>
      </c>
      <c r="Z20" s="167"/>
      <c r="AA20" s="170">
        <f>$M$48</f>
        <v>24495573159</v>
      </c>
      <c r="AB20" s="48"/>
    </row>
    <row r="21" spans="2:30" ht="30.75" customHeight="1" thickBot="1" x14ac:dyDescent="0.25">
      <c r="B21" s="68" t="s">
        <v>24</v>
      </c>
      <c r="C21" s="115">
        <v>8454004712</v>
      </c>
      <c r="D21" s="115">
        <v>400000000</v>
      </c>
      <c r="E21" s="115">
        <v>0</v>
      </c>
      <c r="F21" s="87">
        <f t="shared" si="3"/>
        <v>84394854</v>
      </c>
      <c r="G21" s="100">
        <f t="shared" si="4"/>
        <v>84394854</v>
      </c>
      <c r="H21" s="100">
        <f t="shared" si="5"/>
        <v>0</v>
      </c>
      <c r="I21" s="88">
        <f t="shared" si="6"/>
        <v>7962655885</v>
      </c>
      <c r="J21" s="100">
        <f t="shared" si="7"/>
        <v>7962655885</v>
      </c>
      <c r="K21" s="100">
        <f t="shared" si="8"/>
        <v>0</v>
      </c>
      <c r="L21" s="88">
        <f t="shared" si="9"/>
        <v>2368182212</v>
      </c>
      <c r="M21" s="101">
        <f t="shared" si="13"/>
        <v>406953973</v>
      </c>
      <c r="N21" s="101">
        <f t="shared" si="0"/>
        <v>1961228239</v>
      </c>
      <c r="O21" s="14"/>
      <c r="P21" s="97">
        <f t="shared" si="10"/>
        <v>0</v>
      </c>
      <c r="Q21" s="15"/>
      <c r="R21" s="92">
        <f t="shared" si="11"/>
        <v>2454350475</v>
      </c>
      <c r="S21" s="92">
        <f t="shared" si="1"/>
        <v>300000000</v>
      </c>
      <c r="T21" s="88">
        <f t="shared" si="12"/>
        <v>132258064</v>
      </c>
      <c r="U21" s="97">
        <f t="shared" si="2"/>
        <v>918426327</v>
      </c>
      <c r="V21" s="2"/>
      <c r="W21" s="46"/>
      <c r="X21" s="72"/>
      <c r="Y21" s="168"/>
      <c r="Z21" s="169"/>
      <c r="AA21" s="171"/>
      <c r="AB21" s="48"/>
    </row>
    <row r="22" spans="2:30" ht="30.75" customHeight="1" x14ac:dyDescent="0.2">
      <c r="B22" s="68" t="s">
        <v>25</v>
      </c>
      <c r="C22" s="115">
        <v>8454004712</v>
      </c>
      <c r="D22" s="115">
        <v>400000000</v>
      </c>
      <c r="E22" s="115">
        <v>0</v>
      </c>
      <c r="F22" s="87">
        <f t="shared" si="3"/>
        <v>84394854</v>
      </c>
      <c r="G22" s="100">
        <f t="shared" si="4"/>
        <v>84394854</v>
      </c>
      <c r="H22" s="100">
        <f t="shared" si="5"/>
        <v>0</v>
      </c>
      <c r="I22" s="88">
        <f t="shared" si="6"/>
        <v>7962655885</v>
      </c>
      <c r="J22" s="100">
        <f t="shared" si="7"/>
        <v>7962655885</v>
      </c>
      <c r="K22" s="100">
        <f t="shared" si="8"/>
        <v>0</v>
      </c>
      <c r="L22" s="88">
        <f t="shared" si="9"/>
        <v>2368182212</v>
      </c>
      <c r="M22" s="101">
        <f t="shared" si="13"/>
        <v>406953973</v>
      </c>
      <c r="N22" s="101">
        <f t="shared" si="0"/>
        <v>1961228239</v>
      </c>
      <c r="O22" s="14"/>
      <c r="P22" s="97">
        <f t="shared" si="10"/>
        <v>0</v>
      </c>
      <c r="Q22" s="15"/>
      <c r="R22" s="92">
        <f t="shared" si="11"/>
        <v>2454350475</v>
      </c>
      <c r="S22" s="92">
        <f t="shared" si="1"/>
        <v>300000000</v>
      </c>
      <c r="T22" s="88">
        <f t="shared" si="12"/>
        <v>132258064</v>
      </c>
      <c r="U22" s="97">
        <f t="shared" si="2"/>
        <v>918426327</v>
      </c>
      <c r="V22" s="2"/>
      <c r="W22" s="46"/>
      <c r="X22" s="73"/>
      <c r="Y22" s="158" t="s">
        <v>57</v>
      </c>
      <c r="Z22" s="159"/>
      <c r="AA22" s="162">
        <f>MAX($C$48-$AA$16-$AA$18-$AA$20,0)</f>
        <v>0</v>
      </c>
      <c r="AB22" s="48"/>
    </row>
    <row r="23" spans="2:30" ht="30.75" customHeight="1" thickBot="1" x14ac:dyDescent="0.25">
      <c r="B23" s="68" t="s">
        <v>26</v>
      </c>
      <c r="C23" s="115">
        <v>8454004712</v>
      </c>
      <c r="D23" s="115">
        <v>400000000</v>
      </c>
      <c r="E23" s="115">
        <v>0</v>
      </c>
      <c r="F23" s="87">
        <f t="shared" si="3"/>
        <v>84394854</v>
      </c>
      <c r="G23" s="100">
        <f t="shared" si="4"/>
        <v>84394854</v>
      </c>
      <c r="H23" s="100">
        <f t="shared" si="5"/>
        <v>0</v>
      </c>
      <c r="I23" s="88">
        <f t="shared" si="6"/>
        <v>7962655885</v>
      </c>
      <c r="J23" s="100">
        <f t="shared" si="7"/>
        <v>7962655885</v>
      </c>
      <c r="K23" s="100">
        <f t="shared" si="8"/>
        <v>0</v>
      </c>
      <c r="L23" s="88">
        <f t="shared" si="9"/>
        <v>2368182212</v>
      </c>
      <c r="M23" s="101">
        <f t="shared" si="13"/>
        <v>406953973</v>
      </c>
      <c r="N23" s="101">
        <f t="shared" si="0"/>
        <v>1961228239</v>
      </c>
      <c r="O23" s="14"/>
      <c r="P23" s="97">
        <f t="shared" si="10"/>
        <v>0</v>
      </c>
      <c r="Q23" s="15"/>
      <c r="R23" s="92">
        <f t="shared" si="11"/>
        <v>2454350475</v>
      </c>
      <c r="S23" s="92">
        <f t="shared" si="1"/>
        <v>300000000</v>
      </c>
      <c r="T23" s="88">
        <f t="shared" si="12"/>
        <v>132258064</v>
      </c>
      <c r="U23" s="97">
        <f t="shared" si="2"/>
        <v>918426327</v>
      </c>
      <c r="V23" s="2"/>
      <c r="W23" s="49"/>
      <c r="X23" s="74"/>
      <c r="Y23" s="160"/>
      <c r="Z23" s="161"/>
      <c r="AA23" s="163"/>
      <c r="AB23" s="50"/>
    </row>
    <row r="24" spans="2:30" ht="30.75" customHeight="1" thickBot="1" x14ac:dyDescent="0.25">
      <c r="B24" s="68" t="s">
        <v>27</v>
      </c>
      <c r="C24" s="115">
        <v>8454004712</v>
      </c>
      <c r="D24" s="115">
        <v>400000000</v>
      </c>
      <c r="E24" s="115">
        <v>0</v>
      </c>
      <c r="F24" s="87">
        <f t="shared" si="3"/>
        <v>84394854</v>
      </c>
      <c r="G24" s="100">
        <f t="shared" si="4"/>
        <v>84394854</v>
      </c>
      <c r="H24" s="100">
        <f t="shared" si="5"/>
        <v>0</v>
      </c>
      <c r="I24" s="88">
        <f t="shared" si="6"/>
        <v>7962655885</v>
      </c>
      <c r="J24" s="100">
        <f t="shared" si="7"/>
        <v>7962655885</v>
      </c>
      <c r="K24" s="100">
        <f t="shared" si="8"/>
        <v>0</v>
      </c>
      <c r="L24" s="88">
        <f t="shared" si="9"/>
        <v>2368182212</v>
      </c>
      <c r="M24" s="101">
        <f t="shared" si="13"/>
        <v>406953973</v>
      </c>
      <c r="N24" s="101">
        <f t="shared" si="0"/>
        <v>1961228239</v>
      </c>
      <c r="O24" s="14"/>
      <c r="P24" s="97">
        <f t="shared" si="10"/>
        <v>0</v>
      </c>
      <c r="Q24" s="15"/>
      <c r="R24" s="92">
        <f t="shared" si="11"/>
        <v>2454350475</v>
      </c>
      <c r="S24" s="92">
        <f t="shared" si="1"/>
        <v>300000000</v>
      </c>
      <c r="T24" s="88">
        <f t="shared" si="12"/>
        <v>132258064</v>
      </c>
      <c r="U24" s="97">
        <f t="shared" si="2"/>
        <v>918426327</v>
      </c>
      <c r="V24" s="2"/>
      <c r="W24" s="52"/>
      <c r="X24" s="53"/>
      <c r="Y24" s="53"/>
      <c r="Z24" s="53"/>
      <c r="AA24" s="53"/>
      <c r="AB24" s="78"/>
    </row>
    <row r="25" spans="2:30" ht="30.75" customHeight="1" x14ac:dyDescent="0.2">
      <c r="B25" s="68" t="s">
        <v>28</v>
      </c>
      <c r="C25" s="115">
        <v>8454004712</v>
      </c>
      <c r="D25" s="115">
        <v>400000000</v>
      </c>
      <c r="E25" s="115">
        <v>0</v>
      </c>
      <c r="F25" s="87">
        <f t="shared" si="3"/>
        <v>84394854</v>
      </c>
      <c r="G25" s="100">
        <f t="shared" si="4"/>
        <v>84394854</v>
      </c>
      <c r="H25" s="100">
        <f t="shared" si="5"/>
        <v>0</v>
      </c>
      <c r="I25" s="88">
        <f t="shared" si="6"/>
        <v>7962655885</v>
      </c>
      <c r="J25" s="100">
        <f t="shared" si="7"/>
        <v>7962655885</v>
      </c>
      <c r="K25" s="100">
        <f t="shared" si="8"/>
        <v>0</v>
      </c>
      <c r="L25" s="88">
        <f>IF(C25="","",R25+D25+S25+T25-U25)</f>
        <v>2368182212</v>
      </c>
      <c r="M25" s="101">
        <f t="shared" si="13"/>
        <v>406953973</v>
      </c>
      <c r="N25" s="101">
        <f t="shared" si="0"/>
        <v>1961228239</v>
      </c>
      <c r="O25" s="14"/>
      <c r="P25" s="97">
        <f t="shared" si="10"/>
        <v>0</v>
      </c>
      <c r="Q25" s="15"/>
      <c r="R25" s="92">
        <f t="shared" si="11"/>
        <v>2454350475</v>
      </c>
      <c r="S25" s="92">
        <f t="shared" si="1"/>
        <v>300000000</v>
      </c>
      <c r="T25" s="88">
        <f>IF(C25="","",ROUNDDOWN($T$4/$D$3,0)+$T$6)</f>
        <v>132258064</v>
      </c>
      <c r="U25" s="97">
        <f>IF(C25="","",IF($AA$4="○",ROUNDDOWN((R25+D25+S25+T25)*25/100,0)+ROUNDDOWN(AA$6/$D$3,0),ROUNDDOWN(AA$6/$D$3,0)))</f>
        <v>918426327</v>
      </c>
      <c r="V25" s="2"/>
    </row>
    <row r="26" spans="2:30" ht="30.75" customHeight="1" thickBot="1" x14ac:dyDescent="0.25">
      <c r="B26" s="68" t="s">
        <v>29</v>
      </c>
      <c r="C26" s="115">
        <v>8454004712</v>
      </c>
      <c r="D26" s="115">
        <v>600000000</v>
      </c>
      <c r="E26" s="115">
        <v>0</v>
      </c>
      <c r="F26" s="87">
        <f t="shared" si="3"/>
        <v>84394854</v>
      </c>
      <c r="G26" s="100">
        <f t="shared" si="4"/>
        <v>84394854</v>
      </c>
      <c r="H26" s="100">
        <f t="shared" si="5"/>
        <v>0</v>
      </c>
      <c r="I26" s="88">
        <f t="shared" si="6"/>
        <v>7962655885</v>
      </c>
      <c r="J26" s="100">
        <f t="shared" si="7"/>
        <v>7962655885</v>
      </c>
      <c r="K26" s="100">
        <f>I26-J26</f>
        <v>0</v>
      </c>
      <c r="L26" s="88">
        <f t="shared" si="9"/>
        <v>2668182212</v>
      </c>
      <c r="M26" s="101">
        <f t="shared" si="13"/>
        <v>406953973</v>
      </c>
      <c r="N26" s="101">
        <f t="shared" si="0"/>
        <v>2261228239</v>
      </c>
      <c r="O26" s="14"/>
      <c r="P26" s="97">
        <f t="shared" si="10"/>
        <v>0</v>
      </c>
      <c r="Q26" s="15"/>
      <c r="R26" s="92">
        <f t="shared" si="11"/>
        <v>2454350475</v>
      </c>
      <c r="S26" s="92">
        <f t="shared" si="1"/>
        <v>500000000</v>
      </c>
      <c r="T26" s="88">
        <f t="shared" si="12"/>
        <v>132258064</v>
      </c>
      <c r="U26" s="97">
        <f t="shared" si="2"/>
        <v>1018426327</v>
      </c>
      <c r="V26" s="2"/>
    </row>
    <row r="27" spans="2:30" ht="30.75" customHeight="1" x14ac:dyDescent="0.2">
      <c r="B27" s="68" t="s">
        <v>30</v>
      </c>
      <c r="C27" s="115">
        <v>8454004712</v>
      </c>
      <c r="D27" s="115">
        <v>600000000</v>
      </c>
      <c r="E27" s="115">
        <v>0</v>
      </c>
      <c r="F27" s="87">
        <f t="shared" si="3"/>
        <v>84394854</v>
      </c>
      <c r="G27" s="100">
        <f t="shared" si="4"/>
        <v>84394854</v>
      </c>
      <c r="H27" s="100">
        <f t="shared" si="5"/>
        <v>0</v>
      </c>
      <c r="I27" s="88">
        <f t="shared" si="6"/>
        <v>7962655885</v>
      </c>
      <c r="J27" s="100">
        <f t="shared" si="7"/>
        <v>7962655885</v>
      </c>
      <c r="K27" s="100">
        <f t="shared" si="8"/>
        <v>0</v>
      </c>
      <c r="L27" s="88">
        <f t="shared" si="9"/>
        <v>2668182212</v>
      </c>
      <c r="M27" s="101">
        <f t="shared" si="13"/>
        <v>406953973</v>
      </c>
      <c r="N27" s="101">
        <f t="shared" si="0"/>
        <v>2261228239</v>
      </c>
      <c r="O27" s="14"/>
      <c r="P27" s="97">
        <f t="shared" si="10"/>
        <v>0</v>
      </c>
      <c r="Q27" s="15"/>
      <c r="R27" s="92">
        <f t="shared" si="11"/>
        <v>2454350475</v>
      </c>
      <c r="S27" s="92">
        <f t="shared" si="1"/>
        <v>500000000</v>
      </c>
      <c r="T27" s="88">
        <f t="shared" si="12"/>
        <v>132258064</v>
      </c>
      <c r="U27" s="97">
        <f t="shared" si="2"/>
        <v>1018426327</v>
      </c>
      <c r="V27" s="2"/>
      <c r="W27" s="44"/>
      <c r="X27" s="164" t="s">
        <v>75</v>
      </c>
      <c r="Y27" s="164"/>
      <c r="Z27" s="164"/>
      <c r="AA27" s="164"/>
      <c r="AB27" s="45"/>
    </row>
    <row r="28" spans="2:30" ht="30.75" customHeight="1" x14ac:dyDescent="0.2">
      <c r="B28" s="68" t="s">
        <v>31</v>
      </c>
      <c r="C28" s="115">
        <v>8454004712</v>
      </c>
      <c r="D28" s="115">
        <v>600000000</v>
      </c>
      <c r="E28" s="115">
        <v>0</v>
      </c>
      <c r="F28" s="87">
        <f>IF(C28="","",$D$4)</f>
        <v>84394854</v>
      </c>
      <c r="G28" s="100">
        <f t="shared" si="4"/>
        <v>84394854</v>
      </c>
      <c r="H28" s="100">
        <f t="shared" si="5"/>
        <v>0</v>
      </c>
      <c r="I28" s="88">
        <f t="shared" si="6"/>
        <v>7962655885</v>
      </c>
      <c r="J28" s="100">
        <f t="shared" si="7"/>
        <v>7962655885</v>
      </c>
      <c r="K28" s="100">
        <f t="shared" si="8"/>
        <v>0</v>
      </c>
      <c r="L28" s="88">
        <f t="shared" si="9"/>
        <v>2668182212</v>
      </c>
      <c r="M28" s="101">
        <f t="shared" si="13"/>
        <v>406953973</v>
      </c>
      <c r="N28" s="101">
        <f t="shared" si="0"/>
        <v>2261228239</v>
      </c>
      <c r="O28" s="14"/>
      <c r="P28" s="97">
        <f t="shared" si="10"/>
        <v>0</v>
      </c>
      <c r="Q28" s="15"/>
      <c r="R28" s="92">
        <f t="shared" si="11"/>
        <v>2454350475</v>
      </c>
      <c r="S28" s="92">
        <f t="shared" si="1"/>
        <v>500000000</v>
      </c>
      <c r="T28" s="88">
        <f t="shared" si="12"/>
        <v>132258064</v>
      </c>
      <c r="U28" s="97">
        <f t="shared" si="2"/>
        <v>1018426327</v>
      </c>
      <c r="V28" s="2"/>
      <c r="W28" s="46"/>
      <c r="X28" s="165"/>
      <c r="Y28" s="165"/>
      <c r="Z28" s="165"/>
      <c r="AA28" s="165"/>
      <c r="AB28" s="47"/>
    </row>
    <row r="29" spans="2:30" ht="30.75" customHeight="1" x14ac:dyDescent="0.2">
      <c r="B29" s="68" t="s">
        <v>32</v>
      </c>
      <c r="C29" s="115">
        <v>8454004712</v>
      </c>
      <c r="D29" s="115">
        <v>600000000</v>
      </c>
      <c r="E29" s="115">
        <v>0</v>
      </c>
      <c r="F29" s="87">
        <f>IF(C29="","",IF(VALUE(LEFT(B29,2))&gt;$D$3,"",$D$4))</f>
        <v>84394854</v>
      </c>
      <c r="G29" s="100">
        <f>IF(VALUE(LEFT(B29,2))&gt;$D$3,"",MIN(C29,$D$4))</f>
        <v>84394854</v>
      </c>
      <c r="H29" s="100">
        <f>IF(VALUE(LEFT(B29,2))&gt;$D$3,"",F29-G29)</f>
        <v>0</v>
      </c>
      <c r="I29" s="88">
        <f>IF(C29="","",IF(VALUE(LEFT(B29,2))&gt;$D$3,"",MAX(ROUNDDOWN($P$3/365,0)-$D$4,0)))</f>
        <v>7962655885</v>
      </c>
      <c r="J29" s="100">
        <f>IF(VALUE(LEFT(B29,2))&gt;$D$3,"",MAX(MIN(C29-G29,ROUNDDOWN($P$3/365,0)-G29),0))</f>
        <v>7962655885</v>
      </c>
      <c r="K29" s="100">
        <f>IF(VALUE(LEFT(B29,2))&gt;$D$3,"",I29-J29)</f>
        <v>0</v>
      </c>
      <c r="L29" s="88">
        <f>IF(C29="","",IF(VALUE(LEFT(B29,2))&gt;$D$3,"",R29+D29+S29+T29-U29))</f>
        <v>2668182212</v>
      </c>
      <c r="M29" s="101">
        <f>IF(VALUE(LEFT(B29,2))&gt;D$3,"",MAX(MIN(C29-G29-J29,R29+D29+S29+T29-U29),0))</f>
        <v>406953973</v>
      </c>
      <c r="N29" s="101">
        <f>IF(VALUE(LEFT(B29,2))&gt;$D$3,"",L29-M29)</f>
        <v>2261228239</v>
      </c>
      <c r="O29" s="14"/>
      <c r="P29" s="97">
        <f>IF(C29="","",IF(VALUE(LEFT(B29,2))&gt;$D$3,"",MAX(C29-(F29+I29+L29),0)))</f>
        <v>0</v>
      </c>
      <c r="Q29" s="15"/>
      <c r="R29" s="92">
        <f>IF(C29="","",IF(VALUE(LEFT(B29,2))&gt;$D$3,"",ROUNDDOWN(ROUNDDOWN($P$3/365,0)*D$5/100,0)+IFERROR(ROUNDDOWN(ROUNDDOWN(T$8/T$9,0)*$D$5/100,0),0)))</f>
        <v>2454350475</v>
      </c>
      <c r="S29" s="92">
        <f t="shared" si="1"/>
        <v>500000000</v>
      </c>
      <c r="T29" s="88">
        <f>IF(C29="","",IF(VALUE(LEFT(B29,2))&gt;$D$3,"",ROUNDDOWN($T$4/$D$3,0)+$T$6))</f>
        <v>132258064</v>
      </c>
      <c r="U29" s="97">
        <f>IF(C29="","",IF(VALUE(LEFT(B29,2))&gt;$D$3,"",IF($AA$4="○",ROUNDDOWN((R29+D29+S29+T29)*25/100,0)+ROUNDDOWN(AA$6/$D$3,0),ROUNDDOWN(AA$6/$D$3,0))))</f>
        <v>1018426327</v>
      </c>
      <c r="V29" s="2"/>
      <c r="W29" s="49"/>
      <c r="X29" s="156" t="s">
        <v>52</v>
      </c>
      <c r="Y29" s="156"/>
      <c r="Z29" s="157" t="s">
        <v>61</v>
      </c>
      <c r="AA29" s="156" t="s">
        <v>62</v>
      </c>
      <c r="AB29" s="50"/>
    </row>
    <row r="30" spans="2:30" ht="30.75" customHeight="1" x14ac:dyDescent="0.2">
      <c r="B30" s="68" t="s">
        <v>33</v>
      </c>
      <c r="C30" s="115">
        <v>8454004712</v>
      </c>
      <c r="D30" s="115">
        <v>600000000</v>
      </c>
      <c r="E30" s="115">
        <v>0</v>
      </c>
      <c r="F30" s="87">
        <f>IF(C30="","",IF(VALUE(LEFT(B30,2))&gt;$D$3,"",$D$4))</f>
        <v>84394854</v>
      </c>
      <c r="G30" s="100">
        <f>IF(VALUE(LEFT(B30,2))&gt;$D$3,"",MIN(C30,$D$4))</f>
        <v>84394854</v>
      </c>
      <c r="H30" s="100">
        <f>IF(VALUE(LEFT(B30,2))&gt;$D$3,"",F30-G30)</f>
        <v>0</v>
      </c>
      <c r="I30" s="88">
        <f>IF(C30="","",IF(VALUE(LEFT(B30,2))&gt;$D$3,"",MAX(ROUNDDOWN($P$3/365,0)-$D$4,0)))</f>
        <v>7962655885</v>
      </c>
      <c r="J30" s="100">
        <f>IF(VALUE(LEFT(B30,2))&gt;$D$3,"",MAX(MIN(C30-G30,ROUNDDOWN($P$3/365,0)-G30),0))</f>
        <v>7962655885</v>
      </c>
      <c r="K30" s="100">
        <f>IF(VALUE(LEFT(B30,2))&gt;$D$3,"",I30-J30)</f>
        <v>0</v>
      </c>
      <c r="L30" s="88">
        <f>IF(C30="","",IF(VALUE(LEFT(B30,2))&gt;$D$3,"",R30+D30+S30+T30-U30))</f>
        <v>2668182212</v>
      </c>
      <c r="M30" s="101">
        <f>IF(VALUE(LEFT(B30,2))&gt;D$3,"",MAX(MIN(C30-G30-J30,R30+D30+S30+T30-U30),0))</f>
        <v>406953973</v>
      </c>
      <c r="N30" s="101">
        <f>IF(VALUE(LEFT(B30,2))&gt;$D$3,"",L30-M30)</f>
        <v>2261228239</v>
      </c>
      <c r="O30" s="14"/>
      <c r="P30" s="97">
        <f>IF(C30="","",IF(VALUE(LEFT(B30,2))&gt;$D$3,"",MAX(C30-(F30+I30+L30),0)))</f>
        <v>0</v>
      </c>
      <c r="Q30" s="15"/>
      <c r="R30" s="92">
        <f>IF(C30="","",IF(VALUE(LEFT(B30,2))&gt;$D$3,"",ROUNDDOWN(ROUNDDOWN($P$3/365,0)*D$5/100,0)+IFERROR(ROUNDDOWN(ROUNDDOWN(T$8/T$9,0)*$D$5/100,0),0)))</f>
        <v>2454350475</v>
      </c>
      <c r="S30" s="92">
        <f t="shared" si="1"/>
        <v>500000000</v>
      </c>
      <c r="T30" s="88">
        <f>IF(C30="","",IF(VALUE(LEFT(B30,2))&gt;$D$3,"",ROUNDDOWN($T$4/$D$3,0)+$T$6))</f>
        <v>132258064</v>
      </c>
      <c r="U30" s="97">
        <f>IF(C30="","",IF(VALUE(LEFT(B30,2))&gt;$D$3,"",IF($AA$4="○",ROUNDDOWN((R30+D30+S30+T30)*25/100,0)+ROUNDDOWN(AA$6/$D$3,0),ROUNDDOWN(AA$6/$D$3,0))))</f>
        <v>1018426327</v>
      </c>
      <c r="V30" s="24"/>
      <c r="W30" s="46"/>
      <c r="X30" s="156"/>
      <c r="Y30" s="156"/>
      <c r="Z30" s="157"/>
      <c r="AA30" s="156"/>
      <c r="AB30" s="47"/>
    </row>
    <row r="31" spans="2:30" ht="30.75" customHeight="1" x14ac:dyDescent="0.2">
      <c r="B31" s="68" t="s">
        <v>34</v>
      </c>
      <c r="C31" s="115">
        <v>8454004712</v>
      </c>
      <c r="D31" s="115">
        <v>600000000</v>
      </c>
      <c r="E31" s="115">
        <v>0</v>
      </c>
      <c r="F31" s="87">
        <f>IF(C31="","",IF(VALUE(LEFT(B31,2))&gt;$D$3,"",$D$4))</f>
        <v>84394854</v>
      </c>
      <c r="G31" s="100">
        <f>IF(VALUE(LEFT(B31,2))&gt;$D$3,"",MIN(C31,$D$4))</f>
        <v>84394854</v>
      </c>
      <c r="H31" s="100">
        <f>IF(VALUE(LEFT(B31,2))&gt;$D$3,"",F31-G31)</f>
        <v>0</v>
      </c>
      <c r="I31" s="88">
        <f>IF(C31="","",IF(VALUE(LEFT(B31,2))&gt;$D$3,"",MAX(ROUNDDOWN($P$3/365,0)-$D$4,0)))</f>
        <v>7962655885</v>
      </c>
      <c r="J31" s="100">
        <f>IF(VALUE(LEFT(B31,2))&gt;$D$3,"",MAX(MIN(C31-G31,ROUNDDOWN($P$3/365,0)-G31),0))</f>
        <v>7962655885</v>
      </c>
      <c r="K31" s="100">
        <f>IF(VALUE(LEFT(B31,2))&gt;$D$3,"",I31-J31)</f>
        <v>0</v>
      </c>
      <c r="L31" s="88">
        <f>IF(C31="","",IF(VALUE(LEFT(B31,2))&gt;$D$3,"",R31+D31+S31+T31-U31))</f>
        <v>2668182212</v>
      </c>
      <c r="M31" s="101">
        <f>IF(VALUE(LEFT(B31,2))&gt;D$3,"",MAX(MIN(C31-G31-J31,R31+D31+S31+T31-U31),0))</f>
        <v>406953973</v>
      </c>
      <c r="N31" s="101">
        <f>IF(VALUE(LEFT(B31,2))&gt;$D$3,"",L31-M31)</f>
        <v>2261228239</v>
      </c>
      <c r="O31" s="14"/>
      <c r="P31" s="97">
        <f>IF(C31="","",IF(VALUE(LEFT(B31,2))&gt;$D$3,"",MAX(C31-(F31+I31+L31),0)))</f>
        <v>0</v>
      </c>
      <c r="Q31" s="15"/>
      <c r="R31" s="92">
        <f>IF(C31="","",IF(VALUE(LEFT(B31,2))&gt;$D$3,"",ROUNDDOWN(ROUNDDOWN($P$3/365,0)*D$5/100,0)+IFERROR(ROUNDDOWN(ROUNDDOWN(T$8/T$9,0)*$D$5/100,0),0)))</f>
        <v>2454350475</v>
      </c>
      <c r="S31" s="92">
        <f t="shared" si="1"/>
        <v>500000000</v>
      </c>
      <c r="T31" s="88">
        <f>IF(C31="","",IF(VALUE(LEFT(B31,2))&gt;$D$3,"",ROUNDDOWN($T$4/$D$3,0)+$T$6))</f>
        <v>132258064</v>
      </c>
      <c r="U31" s="97">
        <f>IF(C31="","",IF(VALUE(LEFT(B31,2))&gt;$D$3,"",IF($AA$4="○",ROUNDDOWN((R31+D31+S31+T31)*25/100,0)+ROUNDDOWN(AA$6/$D$3,0),ROUNDDOWN(AA$6/$D$3,0))))</f>
        <v>1018426327</v>
      </c>
      <c r="V31" s="2"/>
      <c r="W31" s="49"/>
      <c r="X31" s="156"/>
      <c r="Y31" s="156"/>
      <c r="Z31" s="77">
        <f>$D$4*$D$3</f>
        <v>2616240474</v>
      </c>
      <c r="AA31" s="77">
        <f>MAX($Z$31-$AA$16,0)</f>
        <v>0</v>
      </c>
      <c r="AB31" s="51"/>
      <c r="AC31" s="8"/>
      <c r="AD31" s="8"/>
    </row>
    <row r="32" spans="2:30" ht="30.75" customHeight="1" x14ac:dyDescent="0.2">
      <c r="B32" s="68" t="s">
        <v>18</v>
      </c>
      <c r="C32" s="115">
        <v>8454004712</v>
      </c>
      <c r="D32" s="115">
        <v>600000000</v>
      </c>
      <c r="E32" s="115">
        <v>0</v>
      </c>
      <c r="F32" s="87">
        <f>IF(C32="","",$D$4)</f>
        <v>84394854</v>
      </c>
      <c r="G32" s="100">
        <f t="shared" ref="G32:G46" si="14">MIN(C32,$D$4)</f>
        <v>84394854</v>
      </c>
      <c r="H32" s="100">
        <f t="shared" si="5"/>
        <v>0</v>
      </c>
      <c r="I32" s="88">
        <f>IF(C32="","",MAX(ROUNDDOWN($P$3/365,0)-$D$4,0))</f>
        <v>7962655885</v>
      </c>
      <c r="J32" s="100">
        <f t="shared" ref="J32:J46" si="15">MAX(MIN(C32-G32,ROUNDDOWN($P$3/365,0)-G32),0)</f>
        <v>7962655885</v>
      </c>
      <c r="K32" s="100">
        <f>I32-J32</f>
        <v>0</v>
      </c>
      <c r="L32" s="88">
        <f>IF(C32="","",R32+D32+S32+T32-U32)</f>
        <v>2668182212</v>
      </c>
      <c r="M32" s="101">
        <f>MAX(MIN(C32-G32-J32,R32+D32+S32+T32-U32),0)</f>
        <v>406953973</v>
      </c>
      <c r="N32" s="101">
        <f t="shared" si="0"/>
        <v>2261228239</v>
      </c>
      <c r="O32" s="14"/>
      <c r="P32" s="97">
        <f t="shared" ref="P32:P46" si="16">IF(C32="","",MAX(C32-(F32+I32+L32),0))</f>
        <v>0</v>
      </c>
      <c r="Q32" s="15"/>
      <c r="R32" s="92">
        <f t="shared" ref="R32:R46" si="17">IF(C32="","",ROUNDDOWN(ROUNDDOWN($P$3/365,0)*$D$5/100,0)+IFERROR(ROUNDDOWN(ROUNDDOWN(T$8/T$9,0)*$D$5/100,0),0))</f>
        <v>2454350475</v>
      </c>
      <c r="S32" s="92">
        <f t="shared" si="1"/>
        <v>500000000</v>
      </c>
      <c r="T32" s="88">
        <f t="shared" ref="T32:T46" si="18">IF(C32="","",ROUNDDOWN($T$4/$D$3,0)+$T$6)</f>
        <v>132258064</v>
      </c>
      <c r="U32" s="97">
        <f t="shared" si="2"/>
        <v>1018426327</v>
      </c>
      <c r="V32" s="2"/>
      <c r="W32" s="46"/>
      <c r="X32" s="156" t="s">
        <v>53</v>
      </c>
      <c r="Y32" s="156"/>
      <c r="Z32" s="157" t="s">
        <v>63</v>
      </c>
      <c r="AA32" s="156" t="s">
        <v>65</v>
      </c>
      <c r="AB32" s="47"/>
    </row>
    <row r="33" spans="2:28" ht="30.75" customHeight="1" x14ac:dyDescent="0.2">
      <c r="B33" s="68" t="s">
        <v>35</v>
      </c>
      <c r="C33" s="115">
        <v>8834004712</v>
      </c>
      <c r="D33" s="115">
        <v>600000000</v>
      </c>
      <c r="E33" s="115">
        <v>0</v>
      </c>
      <c r="F33" s="87">
        <f t="shared" ref="F33:F45" si="19">IF(C33="","",$D$4)</f>
        <v>84394854</v>
      </c>
      <c r="G33" s="100">
        <f t="shared" si="14"/>
        <v>84394854</v>
      </c>
      <c r="H33" s="100">
        <f t="shared" si="5"/>
        <v>0</v>
      </c>
      <c r="I33" s="88">
        <f t="shared" ref="I33:I45" si="20">IF(C33="","",MAX(ROUNDDOWN($P$3/365,0)-$D$4,0))</f>
        <v>7962655885</v>
      </c>
      <c r="J33" s="100">
        <f t="shared" si="15"/>
        <v>7962655885</v>
      </c>
      <c r="K33" s="100">
        <f t="shared" si="8"/>
        <v>0</v>
      </c>
      <c r="L33" s="88">
        <f>IF(C33="","",R33+D33+S33+T33-U33)</f>
        <v>2668182212</v>
      </c>
      <c r="M33" s="101">
        <f t="shared" ref="M33:M45" si="21">MAX(MIN(C33-G33-J33,R33+D33+S33+T33-U33),0)</f>
        <v>786953973</v>
      </c>
      <c r="N33" s="101">
        <f t="shared" si="0"/>
        <v>1881228239</v>
      </c>
      <c r="O33" s="14"/>
      <c r="P33" s="97">
        <f t="shared" si="16"/>
        <v>0</v>
      </c>
      <c r="Q33" s="15"/>
      <c r="R33" s="92">
        <f t="shared" si="17"/>
        <v>2454350475</v>
      </c>
      <c r="S33" s="92">
        <f t="shared" si="1"/>
        <v>500000000</v>
      </c>
      <c r="T33" s="88">
        <f t="shared" si="18"/>
        <v>132258064</v>
      </c>
      <c r="U33" s="97">
        <f t="shared" si="2"/>
        <v>1018426327</v>
      </c>
      <c r="V33" s="2"/>
      <c r="W33" s="46"/>
      <c r="X33" s="156"/>
      <c r="Y33" s="156"/>
      <c r="Z33" s="157"/>
      <c r="AA33" s="156"/>
      <c r="AB33" s="47"/>
    </row>
    <row r="34" spans="2:28" ht="30.75" customHeight="1" x14ac:dyDescent="0.2">
      <c r="B34" s="68" t="s">
        <v>36</v>
      </c>
      <c r="C34" s="115">
        <v>8974004712</v>
      </c>
      <c r="D34" s="115">
        <v>600000000</v>
      </c>
      <c r="E34" s="115">
        <v>0</v>
      </c>
      <c r="F34" s="87">
        <f t="shared" si="19"/>
        <v>84394854</v>
      </c>
      <c r="G34" s="100">
        <f t="shared" si="14"/>
        <v>84394854</v>
      </c>
      <c r="H34" s="100">
        <f t="shared" si="5"/>
        <v>0</v>
      </c>
      <c r="I34" s="88">
        <f t="shared" si="20"/>
        <v>7962655885</v>
      </c>
      <c r="J34" s="100">
        <f t="shared" si="15"/>
        <v>7962655885</v>
      </c>
      <c r="K34" s="100">
        <f t="shared" si="8"/>
        <v>0</v>
      </c>
      <c r="L34" s="88">
        <f t="shared" ref="L34:L46" si="22">IF(C34="","",R34+D34+S34+T34-U34)</f>
        <v>2668182212</v>
      </c>
      <c r="M34" s="101">
        <f t="shared" si="21"/>
        <v>926953973</v>
      </c>
      <c r="N34" s="101">
        <f t="shared" si="0"/>
        <v>1741228239</v>
      </c>
      <c r="O34" s="14"/>
      <c r="P34" s="97">
        <f t="shared" si="16"/>
        <v>0</v>
      </c>
      <c r="Q34" s="15"/>
      <c r="R34" s="92">
        <f t="shared" si="17"/>
        <v>2454350475</v>
      </c>
      <c r="S34" s="92">
        <f t="shared" si="1"/>
        <v>500000000</v>
      </c>
      <c r="T34" s="88">
        <f t="shared" si="18"/>
        <v>132258064</v>
      </c>
      <c r="U34" s="97">
        <f t="shared" si="2"/>
        <v>1018426327</v>
      </c>
      <c r="V34" s="2"/>
      <c r="W34" s="49"/>
      <c r="X34" s="156"/>
      <c r="Y34" s="156"/>
      <c r="Z34" s="77">
        <f>MAX(ROUNDDOWN($P$3*$D$3/365,0)-$D$4*$D$3,0)</f>
        <v>246842332446</v>
      </c>
      <c r="AA34" s="77">
        <f>MAX($Z$34-$AA$18,0)</f>
        <v>0</v>
      </c>
      <c r="AB34" s="47"/>
    </row>
    <row r="35" spans="2:28" ht="30.75" customHeight="1" x14ac:dyDescent="0.2">
      <c r="B35" s="68" t="s">
        <v>37</v>
      </c>
      <c r="C35" s="115">
        <v>8934004712</v>
      </c>
      <c r="D35" s="115">
        <v>600000000</v>
      </c>
      <c r="E35" s="115">
        <v>0</v>
      </c>
      <c r="F35" s="87">
        <f t="shared" si="19"/>
        <v>84394854</v>
      </c>
      <c r="G35" s="100">
        <f t="shared" si="14"/>
        <v>84394854</v>
      </c>
      <c r="H35" s="100">
        <f t="shared" si="5"/>
        <v>0</v>
      </c>
      <c r="I35" s="88">
        <f t="shared" si="20"/>
        <v>7962655885</v>
      </c>
      <c r="J35" s="100">
        <f t="shared" si="15"/>
        <v>7962655885</v>
      </c>
      <c r="K35" s="100">
        <f t="shared" si="8"/>
        <v>0</v>
      </c>
      <c r="L35" s="88">
        <f t="shared" si="22"/>
        <v>2668182212</v>
      </c>
      <c r="M35" s="101">
        <f t="shared" si="21"/>
        <v>886953973</v>
      </c>
      <c r="N35" s="101">
        <f t="shared" si="0"/>
        <v>1781228239</v>
      </c>
      <c r="O35" s="14"/>
      <c r="P35" s="97">
        <f t="shared" si="16"/>
        <v>0</v>
      </c>
      <c r="Q35" s="15"/>
      <c r="R35" s="92">
        <f t="shared" si="17"/>
        <v>2454350475</v>
      </c>
      <c r="S35" s="92">
        <f t="shared" si="1"/>
        <v>500000000</v>
      </c>
      <c r="T35" s="88">
        <f t="shared" si="18"/>
        <v>132258064</v>
      </c>
      <c r="U35" s="97">
        <f t="shared" si="2"/>
        <v>1018426327</v>
      </c>
      <c r="V35" s="2"/>
      <c r="W35" s="46"/>
      <c r="X35" s="156" t="s">
        <v>58</v>
      </c>
      <c r="Y35" s="156"/>
      <c r="Z35" s="157" t="s">
        <v>64</v>
      </c>
      <c r="AA35" s="156" t="s">
        <v>66</v>
      </c>
      <c r="AB35" s="47"/>
    </row>
    <row r="36" spans="2:28" ht="30.75" customHeight="1" x14ac:dyDescent="0.2">
      <c r="B36" s="68" t="s">
        <v>38</v>
      </c>
      <c r="C36" s="115">
        <v>8934004712</v>
      </c>
      <c r="D36" s="115">
        <v>600000000</v>
      </c>
      <c r="E36" s="115">
        <v>0</v>
      </c>
      <c r="F36" s="87">
        <f t="shared" si="19"/>
        <v>84394854</v>
      </c>
      <c r="G36" s="100">
        <f t="shared" si="14"/>
        <v>84394854</v>
      </c>
      <c r="H36" s="100">
        <f t="shared" si="5"/>
        <v>0</v>
      </c>
      <c r="I36" s="88">
        <f t="shared" si="20"/>
        <v>7962655885</v>
      </c>
      <c r="J36" s="100">
        <f t="shared" si="15"/>
        <v>7962655885</v>
      </c>
      <c r="K36" s="100">
        <f t="shared" si="8"/>
        <v>0</v>
      </c>
      <c r="L36" s="88">
        <f t="shared" si="22"/>
        <v>2668182212</v>
      </c>
      <c r="M36" s="101">
        <f t="shared" si="21"/>
        <v>886953973</v>
      </c>
      <c r="N36" s="101">
        <f t="shared" si="0"/>
        <v>1781228239</v>
      </c>
      <c r="O36" s="14"/>
      <c r="P36" s="97">
        <f t="shared" si="16"/>
        <v>0</v>
      </c>
      <c r="Q36" s="15"/>
      <c r="R36" s="92">
        <f t="shared" si="17"/>
        <v>2454350475</v>
      </c>
      <c r="S36" s="92">
        <f t="shared" si="1"/>
        <v>500000000</v>
      </c>
      <c r="T36" s="88">
        <f t="shared" si="18"/>
        <v>132258064</v>
      </c>
      <c r="U36" s="97">
        <f t="shared" si="2"/>
        <v>1018426327</v>
      </c>
      <c r="V36" s="2"/>
      <c r="W36" s="49"/>
      <c r="X36" s="156"/>
      <c r="Y36" s="156"/>
      <c r="Z36" s="157"/>
      <c r="AA36" s="156"/>
      <c r="AB36" s="50"/>
    </row>
    <row r="37" spans="2:28" ht="30.75" customHeight="1" x14ac:dyDescent="0.2">
      <c r="B37" s="68" t="s">
        <v>39</v>
      </c>
      <c r="C37" s="115">
        <v>8934004712</v>
      </c>
      <c r="D37" s="115">
        <v>800000000</v>
      </c>
      <c r="E37" s="115">
        <v>0</v>
      </c>
      <c r="F37" s="87">
        <f t="shared" si="19"/>
        <v>84394854</v>
      </c>
      <c r="G37" s="100">
        <f t="shared" si="14"/>
        <v>84394854</v>
      </c>
      <c r="H37" s="100">
        <f t="shared" si="5"/>
        <v>0</v>
      </c>
      <c r="I37" s="88">
        <f>IF(C37="","",MAX(ROUNDDOWN($P$3/365,0)-$D$4,0))</f>
        <v>7962655885</v>
      </c>
      <c r="J37" s="100">
        <f t="shared" si="15"/>
        <v>7962655885</v>
      </c>
      <c r="K37" s="100">
        <f t="shared" si="8"/>
        <v>0</v>
      </c>
      <c r="L37" s="88">
        <f t="shared" si="22"/>
        <v>2968182212</v>
      </c>
      <c r="M37" s="101">
        <f t="shared" si="21"/>
        <v>886953973</v>
      </c>
      <c r="N37" s="101">
        <f t="shared" si="0"/>
        <v>2081228239</v>
      </c>
      <c r="O37" s="14"/>
      <c r="P37" s="97">
        <f t="shared" si="16"/>
        <v>0</v>
      </c>
      <c r="Q37" s="15"/>
      <c r="R37" s="92">
        <f t="shared" si="17"/>
        <v>2454350475</v>
      </c>
      <c r="S37" s="92">
        <f t="shared" si="1"/>
        <v>700000000</v>
      </c>
      <c r="T37" s="88">
        <f t="shared" si="18"/>
        <v>132258064</v>
      </c>
      <c r="U37" s="97">
        <f t="shared" si="2"/>
        <v>1118426327</v>
      </c>
      <c r="V37" s="2"/>
      <c r="W37" s="46"/>
      <c r="X37" s="156"/>
      <c r="Y37" s="156"/>
      <c r="Z37" s="77">
        <f>ROUNDDOWN(ROUNDDOWN($P$3*$D$3/365,0)*$D$5/100,0)+IFERROR(ROUNDDOWN(ROUNDDOWN($T$8*$D$3/$T$9,0)*$D$5/100,0),0)+$D$48+ROUNDDOWN(MAX($D$48-$E$48-$P$4*$D$3,0)*$D$6/100,0)+$T$4+$T$6*$D$3-IF($AA$4="○",ROUNDDOWN((ROUNDDOWN(ROUNDDOWN($P$3*$D$3/365,0)*$D$5/100,0)+IFERROR(ROUNDDOWN(ROUNDDOWN($T$8*$D$3/$T$9,0)*$D$5/100,0),0)+$D$48+ROUNDDOWN(MAX($D$48-$E$48-$P$4*$D$3,0)*$D$6/100,0)+$T$4+$T$6*$D$3)*25/100,0),0)-AA6</f>
        <v>82713648555</v>
      </c>
      <c r="AA37" s="77">
        <f>MAX($Z$37-$AA$20,0)</f>
        <v>58218075396</v>
      </c>
      <c r="AB37" s="47"/>
    </row>
    <row r="38" spans="2:28" ht="30.75" customHeight="1" x14ac:dyDescent="0.2">
      <c r="B38" s="68" t="s">
        <v>40</v>
      </c>
      <c r="C38" s="115">
        <v>8934004712</v>
      </c>
      <c r="D38" s="115">
        <v>800000000</v>
      </c>
      <c r="E38" s="115">
        <v>0</v>
      </c>
      <c r="F38" s="87">
        <f t="shared" si="19"/>
        <v>84394854</v>
      </c>
      <c r="G38" s="100">
        <f t="shared" si="14"/>
        <v>84394854</v>
      </c>
      <c r="H38" s="100">
        <f t="shared" si="5"/>
        <v>0</v>
      </c>
      <c r="I38" s="88">
        <f t="shared" si="20"/>
        <v>7962655885</v>
      </c>
      <c r="J38" s="100">
        <f t="shared" si="15"/>
        <v>7962655885</v>
      </c>
      <c r="K38" s="100">
        <f t="shared" si="8"/>
        <v>0</v>
      </c>
      <c r="L38" s="88">
        <f t="shared" si="22"/>
        <v>2968182212</v>
      </c>
      <c r="M38" s="101">
        <f t="shared" si="21"/>
        <v>886953973</v>
      </c>
      <c r="N38" s="101">
        <f t="shared" si="0"/>
        <v>2081228239</v>
      </c>
      <c r="O38" s="14"/>
      <c r="P38" s="97">
        <f t="shared" si="16"/>
        <v>0</v>
      </c>
      <c r="Q38" s="15"/>
      <c r="R38" s="92">
        <f t="shared" si="17"/>
        <v>2454350475</v>
      </c>
      <c r="S38" s="92">
        <f t="shared" si="1"/>
        <v>700000000</v>
      </c>
      <c r="T38" s="88">
        <f t="shared" si="18"/>
        <v>132258064</v>
      </c>
      <c r="U38" s="97">
        <f t="shared" si="2"/>
        <v>1118426327</v>
      </c>
      <c r="V38" s="2"/>
      <c r="W38" s="49"/>
      <c r="X38" s="154" t="s">
        <v>76</v>
      </c>
      <c r="Y38" s="154"/>
      <c r="Z38" s="154"/>
      <c r="AA38" s="155" t="str">
        <f>IF(AA20&lt;(ROUNDDOWN(ROUNDDOWN($P$3*$D$3/365,0)*$D$5/100,0)+IFERROR(ROUNDDOWN(ROUNDDOWN($T$8*$D$3/$T$9,0)*$D$5/100,0),0)+$D$48+ROUNDDOWN(MAX($D$48-E48-$P$4*$D$3,0)*$D$6/100,0)+$T$4+$T$6*$D$3)*50/100,"○","")</f>
        <v>○</v>
      </c>
      <c r="AB38" s="47"/>
    </row>
    <row r="39" spans="2:28" ht="30.75" customHeight="1" x14ac:dyDescent="0.2">
      <c r="B39" s="68" t="s">
        <v>41</v>
      </c>
      <c r="C39" s="115">
        <v>8934004712</v>
      </c>
      <c r="D39" s="115">
        <v>800000000</v>
      </c>
      <c r="E39" s="115">
        <v>0</v>
      </c>
      <c r="F39" s="87">
        <f t="shared" si="19"/>
        <v>84394854</v>
      </c>
      <c r="G39" s="100">
        <f t="shared" si="14"/>
        <v>84394854</v>
      </c>
      <c r="H39" s="100">
        <f t="shared" si="5"/>
        <v>0</v>
      </c>
      <c r="I39" s="88">
        <f t="shared" si="20"/>
        <v>7962655885</v>
      </c>
      <c r="J39" s="100">
        <f t="shared" si="15"/>
        <v>7962655885</v>
      </c>
      <c r="K39" s="100">
        <f t="shared" si="8"/>
        <v>0</v>
      </c>
      <c r="L39" s="88">
        <f t="shared" si="22"/>
        <v>2968182212</v>
      </c>
      <c r="M39" s="101">
        <f t="shared" si="21"/>
        <v>886953973</v>
      </c>
      <c r="N39" s="101">
        <f t="shared" si="0"/>
        <v>2081228239</v>
      </c>
      <c r="O39" s="14"/>
      <c r="P39" s="97">
        <f t="shared" si="16"/>
        <v>0</v>
      </c>
      <c r="Q39" s="15"/>
      <c r="R39" s="92">
        <f t="shared" si="17"/>
        <v>2454350475</v>
      </c>
      <c r="S39" s="92">
        <f t="shared" si="1"/>
        <v>700000000</v>
      </c>
      <c r="T39" s="88">
        <f t="shared" si="18"/>
        <v>132258064</v>
      </c>
      <c r="U39" s="97">
        <f t="shared" si="2"/>
        <v>1118426327</v>
      </c>
      <c r="V39" s="2"/>
      <c r="W39" s="46"/>
      <c r="X39" s="154"/>
      <c r="Y39" s="154"/>
      <c r="Z39" s="154"/>
      <c r="AA39" s="155"/>
      <c r="AB39" s="47"/>
    </row>
    <row r="40" spans="2:28" ht="30.75" customHeight="1" x14ac:dyDescent="0.2">
      <c r="B40" s="68" t="s">
        <v>42</v>
      </c>
      <c r="C40" s="115">
        <v>8934004712</v>
      </c>
      <c r="D40" s="115">
        <v>800000000</v>
      </c>
      <c r="E40" s="115">
        <v>0</v>
      </c>
      <c r="F40" s="87">
        <f t="shared" si="19"/>
        <v>84394854</v>
      </c>
      <c r="G40" s="100">
        <f t="shared" si="14"/>
        <v>84394854</v>
      </c>
      <c r="H40" s="100">
        <f t="shared" si="5"/>
        <v>0</v>
      </c>
      <c r="I40" s="88">
        <f t="shared" si="20"/>
        <v>7962655885</v>
      </c>
      <c r="J40" s="100">
        <f t="shared" si="15"/>
        <v>7962655885</v>
      </c>
      <c r="K40" s="100">
        <f t="shared" si="8"/>
        <v>0</v>
      </c>
      <c r="L40" s="88">
        <f t="shared" si="22"/>
        <v>2968182212</v>
      </c>
      <c r="M40" s="101">
        <f t="shared" si="21"/>
        <v>886953973</v>
      </c>
      <c r="N40" s="101">
        <f t="shared" si="0"/>
        <v>2081228239</v>
      </c>
      <c r="O40" s="14"/>
      <c r="P40" s="97">
        <f t="shared" si="16"/>
        <v>0</v>
      </c>
      <c r="Q40" s="15"/>
      <c r="R40" s="92">
        <f t="shared" si="17"/>
        <v>2454350475</v>
      </c>
      <c r="S40" s="92">
        <f t="shared" si="1"/>
        <v>700000000</v>
      </c>
      <c r="T40" s="88">
        <f t="shared" si="18"/>
        <v>132258064</v>
      </c>
      <c r="U40" s="97">
        <f t="shared" si="2"/>
        <v>1118426327</v>
      </c>
      <c r="V40" s="2"/>
      <c r="W40" s="46"/>
      <c r="X40" s="8"/>
      <c r="Y40" s="8"/>
      <c r="Z40" s="8"/>
      <c r="AA40" s="8"/>
      <c r="AB40" s="47"/>
    </row>
    <row r="41" spans="2:28" ht="30.75" customHeight="1" x14ac:dyDescent="0.2">
      <c r="B41" s="68" t="s">
        <v>43</v>
      </c>
      <c r="C41" s="115">
        <v>8934004712</v>
      </c>
      <c r="D41" s="115">
        <v>800000000</v>
      </c>
      <c r="E41" s="115">
        <v>0</v>
      </c>
      <c r="F41" s="87">
        <f t="shared" si="19"/>
        <v>84394854</v>
      </c>
      <c r="G41" s="100">
        <f t="shared" si="14"/>
        <v>84394854</v>
      </c>
      <c r="H41" s="100">
        <f t="shared" si="5"/>
        <v>0</v>
      </c>
      <c r="I41" s="88">
        <f t="shared" si="20"/>
        <v>7962655885</v>
      </c>
      <c r="J41" s="100">
        <f t="shared" si="15"/>
        <v>7962655885</v>
      </c>
      <c r="K41" s="100">
        <f t="shared" si="8"/>
        <v>0</v>
      </c>
      <c r="L41" s="88">
        <f t="shared" si="22"/>
        <v>2968182212</v>
      </c>
      <c r="M41" s="101">
        <f t="shared" si="21"/>
        <v>886953973</v>
      </c>
      <c r="N41" s="101">
        <f t="shared" si="0"/>
        <v>2081228239</v>
      </c>
      <c r="O41" s="14"/>
      <c r="P41" s="97">
        <f t="shared" si="16"/>
        <v>0</v>
      </c>
      <c r="Q41" s="15"/>
      <c r="R41" s="92">
        <f t="shared" si="17"/>
        <v>2454350475</v>
      </c>
      <c r="S41" s="92">
        <f t="shared" si="1"/>
        <v>700000000</v>
      </c>
      <c r="T41" s="88">
        <f t="shared" si="18"/>
        <v>132258064</v>
      </c>
      <c r="U41" s="97">
        <f t="shared" si="2"/>
        <v>1118426327</v>
      </c>
      <c r="V41" s="2"/>
      <c r="W41" s="46"/>
      <c r="X41" s="8"/>
      <c r="Y41" s="8"/>
      <c r="Z41" s="8"/>
      <c r="AA41" s="8"/>
      <c r="AB41" s="47"/>
    </row>
    <row r="42" spans="2:28" ht="30.75" customHeight="1" x14ac:dyDescent="0.2">
      <c r="B42" s="68" t="s">
        <v>44</v>
      </c>
      <c r="C42" s="115">
        <v>9934004712</v>
      </c>
      <c r="D42" s="115">
        <v>800000000</v>
      </c>
      <c r="E42" s="115">
        <v>0</v>
      </c>
      <c r="F42" s="87">
        <f t="shared" si="19"/>
        <v>84394854</v>
      </c>
      <c r="G42" s="100">
        <f t="shared" si="14"/>
        <v>84394854</v>
      </c>
      <c r="H42" s="100">
        <f t="shared" si="5"/>
        <v>0</v>
      </c>
      <c r="I42" s="88">
        <f t="shared" si="20"/>
        <v>7962655885</v>
      </c>
      <c r="J42" s="100">
        <f t="shared" si="15"/>
        <v>7962655885</v>
      </c>
      <c r="K42" s="100">
        <f t="shared" si="8"/>
        <v>0</v>
      </c>
      <c r="L42" s="88">
        <f>IF(C42="","",R42+D42+S42+T42-U42)</f>
        <v>2968182212</v>
      </c>
      <c r="M42" s="101">
        <f t="shared" si="21"/>
        <v>1886953973</v>
      </c>
      <c r="N42" s="101">
        <f t="shared" si="0"/>
        <v>1081228239</v>
      </c>
      <c r="O42" s="14"/>
      <c r="P42" s="97">
        <f t="shared" si="16"/>
        <v>0</v>
      </c>
      <c r="Q42" s="15"/>
      <c r="R42" s="92">
        <f t="shared" si="17"/>
        <v>2454350475</v>
      </c>
      <c r="S42" s="92">
        <f t="shared" si="1"/>
        <v>700000000</v>
      </c>
      <c r="T42" s="88">
        <f t="shared" si="18"/>
        <v>132258064</v>
      </c>
      <c r="U42" s="97">
        <f t="shared" si="2"/>
        <v>1118426327</v>
      </c>
      <c r="V42" s="2"/>
      <c r="W42" s="46"/>
      <c r="X42" s="8"/>
      <c r="Y42" s="8"/>
      <c r="Z42" s="8"/>
      <c r="AA42" s="8"/>
      <c r="AB42" s="47"/>
    </row>
    <row r="43" spans="2:28" ht="30.75" customHeight="1" thickBot="1" x14ac:dyDescent="0.25">
      <c r="B43" s="68" t="s">
        <v>45</v>
      </c>
      <c r="C43" s="115">
        <v>9934004712</v>
      </c>
      <c r="D43" s="115">
        <v>800000000</v>
      </c>
      <c r="E43" s="115">
        <v>0</v>
      </c>
      <c r="F43" s="87">
        <f t="shared" si="19"/>
        <v>84394854</v>
      </c>
      <c r="G43" s="100">
        <f t="shared" si="14"/>
        <v>84394854</v>
      </c>
      <c r="H43" s="100">
        <f t="shared" si="5"/>
        <v>0</v>
      </c>
      <c r="I43" s="88">
        <f t="shared" si="20"/>
        <v>7962655885</v>
      </c>
      <c r="J43" s="100">
        <f t="shared" si="15"/>
        <v>7962655885</v>
      </c>
      <c r="K43" s="100">
        <f t="shared" si="8"/>
        <v>0</v>
      </c>
      <c r="L43" s="88">
        <f t="shared" si="22"/>
        <v>2968182212</v>
      </c>
      <c r="M43" s="101">
        <f>MAX(MIN(C43-G43-J43,R43+D43+S43+T43-U43),0)</f>
        <v>1886953973</v>
      </c>
      <c r="N43" s="101">
        <f t="shared" si="0"/>
        <v>1081228239</v>
      </c>
      <c r="O43" s="14"/>
      <c r="P43" s="97">
        <f t="shared" si="16"/>
        <v>0</v>
      </c>
      <c r="Q43" s="15"/>
      <c r="R43" s="92">
        <f t="shared" si="17"/>
        <v>2454350475</v>
      </c>
      <c r="S43" s="92">
        <f t="shared" si="1"/>
        <v>700000000</v>
      </c>
      <c r="T43" s="88">
        <f t="shared" si="18"/>
        <v>132258064</v>
      </c>
      <c r="U43" s="97">
        <f t="shared" si="2"/>
        <v>1118426327</v>
      </c>
      <c r="V43" s="2"/>
      <c r="W43" s="79"/>
      <c r="X43" s="53"/>
      <c r="Y43" s="53"/>
      <c r="Z43" s="53"/>
      <c r="AA43" s="53"/>
      <c r="AB43" s="75"/>
    </row>
    <row r="44" spans="2:28" ht="30.75" customHeight="1" x14ac:dyDescent="0.2">
      <c r="B44" s="68" t="s">
        <v>46</v>
      </c>
      <c r="C44" s="115">
        <v>9934004712</v>
      </c>
      <c r="D44" s="115">
        <v>800000000</v>
      </c>
      <c r="E44" s="115">
        <v>0</v>
      </c>
      <c r="F44" s="87">
        <f t="shared" si="19"/>
        <v>84394854</v>
      </c>
      <c r="G44" s="100">
        <f t="shared" si="14"/>
        <v>84394854</v>
      </c>
      <c r="H44" s="100">
        <f t="shared" si="5"/>
        <v>0</v>
      </c>
      <c r="I44" s="88">
        <f t="shared" si="20"/>
        <v>7962655885</v>
      </c>
      <c r="J44" s="100">
        <f t="shared" si="15"/>
        <v>7962655885</v>
      </c>
      <c r="K44" s="100">
        <f>I44-J44</f>
        <v>0</v>
      </c>
      <c r="L44" s="88">
        <f>IF(C44="","",R44+D44+S44+T44-U44)</f>
        <v>2968182212</v>
      </c>
      <c r="M44" s="101">
        <f t="shared" si="21"/>
        <v>1886953973</v>
      </c>
      <c r="N44" s="101">
        <f t="shared" si="0"/>
        <v>1081228239</v>
      </c>
      <c r="O44" s="14"/>
      <c r="P44" s="97">
        <f t="shared" si="16"/>
        <v>0</v>
      </c>
      <c r="Q44" s="15"/>
      <c r="R44" s="92">
        <f t="shared" si="17"/>
        <v>2454350475</v>
      </c>
      <c r="S44" s="92">
        <f t="shared" si="1"/>
        <v>700000000</v>
      </c>
      <c r="T44" s="88">
        <f t="shared" si="18"/>
        <v>132258064</v>
      </c>
      <c r="U44" s="97">
        <f t="shared" si="2"/>
        <v>1118426327</v>
      </c>
      <c r="V44" s="2"/>
    </row>
    <row r="45" spans="2:28" ht="30.75" customHeight="1" x14ac:dyDescent="0.2">
      <c r="B45" s="68" t="s">
        <v>47</v>
      </c>
      <c r="C45" s="115">
        <v>9934004712</v>
      </c>
      <c r="D45" s="115">
        <v>800000000</v>
      </c>
      <c r="E45" s="115">
        <v>0</v>
      </c>
      <c r="F45" s="87">
        <f t="shared" si="19"/>
        <v>84394854</v>
      </c>
      <c r="G45" s="100">
        <f t="shared" si="14"/>
        <v>84394854</v>
      </c>
      <c r="H45" s="100">
        <f t="shared" si="5"/>
        <v>0</v>
      </c>
      <c r="I45" s="88">
        <f t="shared" si="20"/>
        <v>7962655885</v>
      </c>
      <c r="J45" s="100">
        <f>MAX(MIN(C45-G45,ROUNDDOWN($P$3/365,0)-G45),0)</f>
        <v>7962655885</v>
      </c>
      <c r="K45" s="100">
        <f t="shared" si="8"/>
        <v>0</v>
      </c>
      <c r="L45" s="88">
        <f t="shared" si="22"/>
        <v>2968182212</v>
      </c>
      <c r="M45" s="101">
        <f t="shared" si="21"/>
        <v>1886953973</v>
      </c>
      <c r="N45" s="101">
        <f t="shared" si="0"/>
        <v>1081228239</v>
      </c>
      <c r="O45" s="14"/>
      <c r="P45" s="97">
        <f t="shared" si="16"/>
        <v>0</v>
      </c>
      <c r="Q45" s="15"/>
      <c r="R45" s="92">
        <f t="shared" si="17"/>
        <v>2454350475</v>
      </c>
      <c r="S45" s="92">
        <f t="shared" si="1"/>
        <v>700000000</v>
      </c>
      <c r="T45" s="88">
        <f t="shared" si="18"/>
        <v>132258064</v>
      </c>
      <c r="U45" s="97">
        <f t="shared" si="2"/>
        <v>1118426327</v>
      </c>
      <c r="V45" s="2"/>
    </row>
    <row r="46" spans="2:28" ht="30.75" customHeight="1" thickBot="1" x14ac:dyDescent="0.25">
      <c r="B46" s="69" t="s">
        <v>48</v>
      </c>
      <c r="C46" s="126">
        <v>9754004719</v>
      </c>
      <c r="D46" s="126">
        <v>800000000</v>
      </c>
      <c r="E46" s="126">
        <v>0</v>
      </c>
      <c r="F46" s="87">
        <f>IF(C46="","",$D$4)</f>
        <v>84394854</v>
      </c>
      <c r="G46" s="100">
        <f t="shared" si="14"/>
        <v>84394854</v>
      </c>
      <c r="H46" s="100">
        <f t="shared" si="5"/>
        <v>0</v>
      </c>
      <c r="I46" s="88">
        <f>IF(C46="","",MAX(ROUNDDOWN($P$3/365,0)-$D$4,0))</f>
        <v>7962655885</v>
      </c>
      <c r="J46" s="100">
        <f t="shared" si="15"/>
        <v>7962655885</v>
      </c>
      <c r="K46" s="100">
        <f t="shared" si="8"/>
        <v>0</v>
      </c>
      <c r="L46" s="88">
        <f t="shared" si="22"/>
        <v>2968182212</v>
      </c>
      <c r="M46" s="101">
        <f>MAX(MIN(C46-G46-J46,R46+D46+S46+T46-U46),0)</f>
        <v>1706953980</v>
      </c>
      <c r="N46" s="101">
        <f t="shared" si="0"/>
        <v>1261228232</v>
      </c>
      <c r="O46" s="14"/>
      <c r="P46" s="97">
        <f t="shared" si="16"/>
        <v>0</v>
      </c>
      <c r="Q46" s="15"/>
      <c r="R46" s="92">
        <f t="shared" si="17"/>
        <v>2454350475</v>
      </c>
      <c r="S46" s="92">
        <f t="shared" si="1"/>
        <v>700000000</v>
      </c>
      <c r="T46" s="88">
        <f t="shared" si="18"/>
        <v>132258064</v>
      </c>
      <c r="U46" s="97">
        <f t="shared" si="2"/>
        <v>1118426327</v>
      </c>
      <c r="V46" s="2"/>
    </row>
    <row r="47" spans="2:28" ht="24" customHeight="1" thickBot="1" x14ac:dyDescent="0.25">
      <c r="B47" s="70"/>
      <c r="C47" s="16"/>
      <c r="D47" s="16"/>
      <c r="E47" s="16"/>
      <c r="F47" s="16"/>
      <c r="G47" s="7"/>
      <c r="H47" s="7"/>
      <c r="I47" s="7"/>
      <c r="J47" s="7"/>
      <c r="K47" s="7"/>
      <c r="L47" s="7"/>
      <c r="M47" s="7"/>
      <c r="N47" s="7"/>
      <c r="O47" s="16"/>
      <c r="P47" s="98"/>
      <c r="Q47" s="16"/>
      <c r="R47" s="7"/>
      <c r="S47" s="7"/>
      <c r="T47" s="7"/>
      <c r="U47" s="98"/>
      <c r="V47" s="2"/>
    </row>
    <row r="48" spans="2:28" ht="30" customHeight="1" thickBot="1" x14ac:dyDescent="0.25">
      <c r="B48" s="71" t="s">
        <v>8</v>
      </c>
      <c r="C48" s="95">
        <f>SUM(C16:C46)</f>
        <v>273954146079</v>
      </c>
      <c r="D48" s="95">
        <f>SUM(D16:D46)</f>
        <v>18600000000</v>
      </c>
      <c r="E48" s="95">
        <f>SUM(E16:E46)</f>
        <v>0</v>
      </c>
      <c r="F48" s="88">
        <f>SUM(F16:F46)</f>
        <v>2616240474</v>
      </c>
      <c r="G48" s="109">
        <f>MIN(C48,$D$4*$D$3)</f>
        <v>2616240474</v>
      </c>
      <c r="H48" s="110">
        <f>F48-G48</f>
        <v>0</v>
      </c>
      <c r="I48" s="103">
        <f>SUM(I16:I46)</f>
        <v>246842332435</v>
      </c>
      <c r="J48" s="108">
        <f>MAX(MIN(C48-G48,ROUNDDOWN($P$3*$D$3/365,0)-G48),0)</f>
        <v>246842332446</v>
      </c>
      <c r="K48" s="105">
        <f>I48-J48</f>
        <v>-11</v>
      </c>
      <c r="L48" s="103">
        <f>SUM(L16:L46)</f>
        <v>82713648572</v>
      </c>
      <c r="M48" s="104">
        <f>MAX(MIN(C48-G48-J48,ROUNDDOWN(ROUNDDOWN($P$3*$D$3/365,0)*$D$5/100,0)+IFERROR(ROUNDDOWN(ROUNDDOWN($T$8*$D$3/$T$9,0)*$D$5/100,0),0)+$D$48+ROUNDDOWN(MAX($D$48-$E$48-$P$4*$D$3,0)*$D$6/100,0)+$T$4+$T$6*$D$3-IF($AA$4="○",ROUNDDOWN((ROUNDDOWN(ROUNDDOWN($P$3*$D$3/365,0)*$D$5/100,0)+IFERROR(ROUNDDOWN(ROUNDDOWN($T$8*$D$3/$T$9,0)*$D$5/100,0),0)+$D$48+ROUNDDOWN(MAX($D$48-$E$48-$P$4*$D$3,0)*$D$6/100,0)+$T$4+$T$6*$D$3)*25/100,0),0)-AA6))</f>
        <v>24495573159</v>
      </c>
      <c r="N48" s="105">
        <f>L48-M48</f>
        <v>58218075413</v>
      </c>
      <c r="O48" s="17"/>
      <c r="P48" s="99">
        <f>SUM(P16:P46)</f>
        <v>0</v>
      </c>
      <c r="Q48" s="16"/>
      <c r="R48" s="96">
        <f>SUM(R16:R46)</f>
        <v>76084864725</v>
      </c>
      <c r="S48" s="95">
        <f>SUM(S16:S46)</f>
        <v>15500000000</v>
      </c>
      <c r="T48" s="95">
        <f>SUM(T16:T46)</f>
        <v>4099999984</v>
      </c>
      <c r="U48" s="99">
        <f>SUM(U16:U46)</f>
        <v>31571216137</v>
      </c>
      <c r="V48" s="2"/>
    </row>
    <row r="49" spans="3:28" ht="29.25" customHeight="1" x14ac:dyDescent="0.2">
      <c r="D49" s="3"/>
      <c r="E49" s="3"/>
      <c r="F49" s="3"/>
      <c r="G49" s="102"/>
      <c r="H49" s="3"/>
      <c r="I49" s="3"/>
      <c r="J49" s="3"/>
      <c r="K49" s="3"/>
      <c r="L49" s="3"/>
      <c r="M49" s="3"/>
      <c r="N49" s="3"/>
      <c r="O49" s="18"/>
      <c r="P49" s="3"/>
      <c r="Q49" s="18"/>
      <c r="R49" s="3"/>
      <c r="S49" s="3"/>
      <c r="T49" s="3"/>
      <c r="U49" s="3"/>
      <c r="V49" s="2"/>
      <c r="W49" s="2"/>
    </row>
    <row r="50" spans="3:28" ht="22" customHeight="1" x14ac:dyDescent="0.2">
      <c r="C50" s="1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W50" s="2"/>
    </row>
    <row r="51" spans="3:28" ht="22" customHeight="1" x14ac:dyDescent="0.2">
      <c r="C51" s="1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AB51" s="1"/>
    </row>
    <row r="52" spans="3:28" ht="22" customHeight="1" x14ac:dyDescent="0.2">
      <c r="AB52" s="1"/>
    </row>
    <row r="53" spans="3:28" ht="22" customHeight="1" x14ac:dyDescent="0.2">
      <c r="AB53" s="1"/>
    </row>
    <row r="54" spans="3:28" ht="22" customHeight="1" x14ac:dyDescent="0.2">
      <c r="AB54" s="1"/>
    </row>
    <row r="55" spans="3:28" ht="22" customHeight="1" x14ac:dyDescent="0.2">
      <c r="AB55" s="1"/>
    </row>
    <row r="56" spans="3:28" ht="22" customHeight="1" x14ac:dyDescent="0.2">
      <c r="AB56" s="1"/>
    </row>
    <row r="57" spans="3:28" ht="22" customHeight="1" x14ac:dyDescent="0.2">
      <c r="AB57" s="1"/>
    </row>
    <row r="58" spans="3:28" ht="22" customHeight="1" x14ac:dyDescent="0.2">
      <c r="AB58" s="1"/>
    </row>
    <row r="59" spans="3:28" ht="22" customHeight="1" x14ac:dyDescent="0.2">
      <c r="AB59" s="1"/>
    </row>
  </sheetData>
  <sheetProtection algorithmName="SHA-512" hashValue="VpQDRTepWam+1lT5lmfsBjfE0o6R527UgLifVhANWm8VseW7opAW/4QnNv0x4A7sjnqmWrltAQZsrAzdufoBgA==" saltValue="3PxPcFXOqya+yRYCWZMYJw==" spinCount="100000" sheet="1" objects="1" scenarios="1"/>
  <mergeCells count="43">
    <mergeCell ref="M14:M15"/>
    <mergeCell ref="A1:AB1"/>
    <mergeCell ref="X12:AA13"/>
    <mergeCell ref="B13:B15"/>
    <mergeCell ref="C13:C15"/>
    <mergeCell ref="D13:D15"/>
    <mergeCell ref="F13:F15"/>
    <mergeCell ref="I13:I15"/>
    <mergeCell ref="L13:L15"/>
    <mergeCell ref="P13:P15"/>
    <mergeCell ref="R13:U13"/>
    <mergeCell ref="E14:E15"/>
    <mergeCell ref="G14:G15"/>
    <mergeCell ref="H14:H15"/>
    <mergeCell ref="J14:J15"/>
    <mergeCell ref="K14:K15"/>
    <mergeCell ref="Y20:Z21"/>
    <mergeCell ref="AA20:AA21"/>
    <mergeCell ref="N14:N15"/>
    <mergeCell ref="R14:R15"/>
    <mergeCell ref="S14:S15"/>
    <mergeCell ref="T14:T15"/>
    <mergeCell ref="U14:U15"/>
    <mergeCell ref="X14:Z15"/>
    <mergeCell ref="AA14:AA15"/>
    <mergeCell ref="Y16:Z17"/>
    <mergeCell ref="AA16:AA17"/>
    <mergeCell ref="Y18:Z19"/>
    <mergeCell ref="AA18:AA19"/>
    <mergeCell ref="Y22:Z23"/>
    <mergeCell ref="AA22:AA23"/>
    <mergeCell ref="X27:AA28"/>
    <mergeCell ref="X29:Y31"/>
    <mergeCell ref="Z29:Z30"/>
    <mergeCell ref="AA29:AA30"/>
    <mergeCell ref="X38:Z39"/>
    <mergeCell ref="AA38:AA39"/>
    <mergeCell ref="X32:Y34"/>
    <mergeCell ref="Z32:Z33"/>
    <mergeCell ref="AA32:AA33"/>
    <mergeCell ref="X35:Y37"/>
    <mergeCell ref="Z35:Z36"/>
    <mergeCell ref="AA35:AA36"/>
  </mergeCells>
  <phoneticPr fontId="1"/>
  <dataValidations count="5">
    <dataValidation type="custom" allowBlank="1" showInputMessage="1" showErrorMessage="1" sqref="D5:D6">
      <formula1>AND(0&lt;=D5,D5&lt;=100,ROUNDDOWN(D5,1)=D5)</formula1>
    </dataValidation>
    <dataValidation type="whole" allowBlank="1" showInputMessage="1" showErrorMessage="1" sqref="T9">
      <formula1>1</formula1>
      <formula2>366</formula2>
    </dataValidation>
    <dataValidation type="whole" allowBlank="1" showInputMessage="1" showErrorMessage="1" sqref="T10 D3">
      <formula1>1</formula1>
      <formula2>31</formula2>
    </dataValidation>
    <dataValidation type="whole" operator="greaterThanOrEqual" allowBlank="1" showInputMessage="1" showErrorMessage="1" sqref="D4 P3:P4 AA6 T4 T6 T8 C16:E46">
      <formula1>0</formula1>
    </dataValidation>
    <dataValidation type="list" allowBlank="1" showInputMessage="1" showErrorMessage="1" sqref="AA4">
      <formula1>"○"</formula1>
    </dataValidation>
  </dataValidations>
  <pageMargins left="0.19685039370078741" right="0.23622047244094491" top="0.15748031496062992" bottom="0.19685039370078741" header="0.31496062992125984" footer="0.19685039370078741"/>
  <pageSetup paperSize="8" scale="58" orientation="landscape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AD59"/>
  <sheetViews>
    <sheetView view="pageBreakPreview" zoomScale="55" zoomScaleNormal="90" zoomScaleSheetLayoutView="55" workbookViewId="0">
      <selection sqref="A1:AB1"/>
    </sheetView>
  </sheetViews>
  <sheetFormatPr defaultColWidth="9" defaultRowHeight="22" customHeight="1" x14ac:dyDescent="0.2"/>
  <cols>
    <col min="1" max="1" width="1.5" style="1" customWidth="1"/>
    <col min="2" max="2" width="8" style="1" customWidth="1"/>
    <col min="3" max="3" width="23.5" style="1" customWidth="1"/>
    <col min="4" max="4" width="23.58203125" style="1" customWidth="1"/>
    <col min="5" max="5" width="23.58203125" style="1" hidden="1" customWidth="1"/>
    <col min="6" max="6" width="23.58203125" style="1" customWidth="1"/>
    <col min="7" max="8" width="17.58203125" style="1" hidden="1" customWidth="1"/>
    <col min="9" max="9" width="23.58203125" style="1" customWidth="1"/>
    <col min="10" max="10" width="17.33203125" style="1" hidden="1" customWidth="1"/>
    <col min="11" max="11" width="17.58203125" style="1" hidden="1" customWidth="1"/>
    <col min="12" max="12" width="23.58203125" style="1" customWidth="1"/>
    <col min="13" max="14" width="17.33203125" style="1" hidden="1" customWidth="1"/>
    <col min="15" max="15" width="3.58203125" style="4" customWidth="1"/>
    <col min="16" max="16" width="23.58203125" style="1" customWidth="1"/>
    <col min="17" max="17" width="3.58203125" style="4" customWidth="1"/>
    <col min="18" max="21" width="23.58203125" style="1" customWidth="1"/>
    <col min="22" max="22" width="1.33203125" style="1" customWidth="1"/>
    <col min="23" max="23" width="3.75" style="1" customWidth="1"/>
    <col min="24" max="24" width="1.58203125" style="1" customWidth="1"/>
    <col min="25" max="25" width="12.75" style="1" customWidth="1"/>
    <col min="26" max="26" width="25" style="1" customWidth="1"/>
    <col min="27" max="27" width="23.75" style="1" customWidth="1"/>
    <col min="28" max="28" width="3.75" style="9" customWidth="1"/>
    <col min="29" max="29" width="4.33203125" style="1" customWidth="1"/>
    <col min="30" max="16384" width="9" style="1"/>
  </cols>
  <sheetData>
    <row r="1" spans="1:29" s="30" customFormat="1" ht="60" customHeight="1" x14ac:dyDescent="0.2">
      <c r="A1" s="185" t="s">
        <v>109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29" s="30" customFormat="1" ht="33" thickBot="1" x14ac:dyDescent="0.25">
      <c r="A2" s="34"/>
      <c r="B2" s="61" t="s">
        <v>89</v>
      </c>
      <c r="C2" s="58"/>
      <c r="D2" s="36"/>
      <c r="E2" s="36"/>
      <c r="F2" s="36"/>
      <c r="G2" s="34"/>
      <c r="H2" s="34"/>
      <c r="I2" s="62" t="s">
        <v>90</v>
      </c>
      <c r="J2" s="37"/>
      <c r="K2" s="37"/>
      <c r="L2" s="37"/>
      <c r="M2" s="37"/>
      <c r="N2" s="37"/>
      <c r="O2" s="37"/>
      <c r="P2" s="37"/>
      <c r="Q2" s="37"/>
      <c r="R2" s="63" t="s">
        <v>93</v>
      </c>
      <c r="S2" s="39"/>
      <c r="T2" s="40"/>
      <c r="U2" s="40"/>
      <c r="V2" s="40"/>
      <c r="W2" s="40"/>
      <c r="X2" s="40"/>
      <c r="Y2" s="40"/>
      <c r="Z2" s="40"/>
      <c r="AA2" s="40"/>
      <c r="AB2" s="40"/>
      <c r="AC2" s="76"/>
    </row>
    <row r="3" spans="1:29" ht="20.5" thickBot="1" x14ac:dyDescent="0.25">
      <c r="B3" s="60" t="s">
        <v>14</v>
      </c>
      <c r="D3" s="80"/>
      <c r="E3" s="31" t="s">
        <v>0</v>
      </c>
      <c r="F3" s="31" t="s">
        <v>0</v>
      </c>
      <c r="I3" s="60" t="s">
        <v>91</v>
      </c>
      <c r="J3" s="106"/>
      <c r="K3" s="106"/>
      <c r="O3" s="56"/>
      <c r="P3" s="85"/>
      <c r="Q3" s="32" t="s">
        <v>6</v>
      </c>
      <c r="R3" s="65" t="s">
        <v>54</v>
      </c>
      <c r="S3" s="35"/>
      <c r="T3" s="38"/>
      <c r="V3" s="67" t="s">
        <v>72</v>
      </c>
      <c r="W3" s="67"/>
      <c r="X3" s="67"/>
      <c r="Y3" s="67"/>
      <c r="Z3" s="67"/>
      <c r="AC3" s="8"/>
    </row>
    <row r="4" spans="1:29" ht="20.5" thickBot="1" x14ac:dyDescent="0.25">
      <c r="B4" s="60" t="s">
        <v>15</v>
      </c>
      <c r="D4" s="81"/>
      <c r="E4" s="31" t="s">
        <v>6</v>
      </c>
      <c r="F4" s="31" t="s">
        <v>6</v>
      </c>
      <c r="I4" s="59" t="s">
        <v>92</v>
      </c>
      <c r="J4" s="106"/>
      <c r="K4" s="106"/>
      <c r="O4" s="56"/>
      <c r="P4" s="86"/>
      <c r="Q4" s="32" t="s">
        <v>6</v>
      </c>
      <c r="R4" s="66" t="s">
        <v>94</v>
      </c>
      <c r="S4" s="41"/>
      <c r="T4" s="89"/>
      <c r="U4" s="33" t="s">
        <v>6</v>
      </c>
      <c r="V4" s="66" t="s">
        <v>99</v>
      </c>
      <c r="W4" s="67"/>
      <c r="X4" s="67"/>
      <c r="Y4" s="67"/>
      <c r="Z4" s="67"/>
      <c r="AA4" s="94"/>
      <c r="AB4" s="33"/>
      <c r="AC4" s="4"/>
    </row>
    <row r="5" spans="1:29" ht="20.5" thickBot="1" x14ac:dyDescent="0.25">
      <c r="B5" s="60" t="s">
        <v>16</v>
      </c>
      <c r="D5" s="82"/>
      <c r="E5" s="31" t="s">
        <v>1</v>
      </c>
      <c r="F5" s="31" t="s">
        <v>1</v>
      </c>
      <c r="I5" s="27"/>
      <c r="J5" s="26"/>
      <c r="K5" s="26"/>
      <c r="L5" s="28"/>
      <c r="M5" s="26"/>
      <c r="N5" s="26"/>
      <c r="O5" s="11"/>
      <c r="R5" s="66" t="s">
        <v>49</v>
      </c>
      <c r="S5" s="41"/>
      <c r="T5" s="23"/>
      <c r="V5" s="67" t="s">
        <v>73</v>
      </c>
      <c r="W5" s="9"/>
      <c r="X5" s="9"/>
      <c r="Y5" s="9"/>
      <c r="Z5" s="9"/>
      <c r="AA5" s="9"/>
      <c r="AC5" s="4"/>
    </row>
    <row r="6" spans="1:29" ht="20.5" thickBot="1" x14ac:dyDescent="0.25">
      <c r="B6" s="64" t="s">
        <v>17</v>
      </c>
      <c r="D6" s="107"/>
      <c r="E6" s="31" t="s">
        <v>1</v>
      </c>
      <c r="F6" s="31" t="s">
        <v>1</v>
      </c>
      <c r="G6" s="26"/>
      <c r="H6" s="26"/>
      <c r="I6" s="27"/>
      <c r="J6" s="26"/>
      <c r="K6" s="26"/>
      <c r="L6" s="28"/>
      <c r="M6" s="26"/>
      <c r="N6" s="26"/>
      <c r="O6" s="11"/>
      <c r="R6" s="66" t="s">
        <v>95</v>
      </c>
      <c r="S6" s="41"/>
      <c r="T6" s="89"/>
      <c r="U6" s="33" t="s">
        <v>6</v>
      </c>
      <c r="V6" s="66" t="s">
        <v>100</v>
      </c>
      <c r="W6" s="67"/>
      <c r="X6" s="67"/>
      <c r="Y6" s="67"/>
      <c r="Z6" s="67"/>
      <c r="AA6" s="89"/>
      <c r="AB6" s="33" t="s">
        <v>6</v>
      </c>
      <c r="AC6" s="4"/>
    </row>
    <row r="7" spans="1:29" s="9" customFormat="1" ht="29.25" customHeight="1" thickBot="1" x14ac:dyDescent="0.25">
      <c r="B7" s="64"/>
      <c r="D7" s="55"/>
      <c r="E7" s="55"/>
      <c r="F7" s="33"/>
      <c r="G7" s="26"/>
      <c r="H7" s="26"/>
      <c r="I7" s="27"/>
      <c r="J7" s="26"/>
      <c r="K7" s="26"/>
      <c r="L7" s="28"/>
      <c r="M7" s="26"/>
      <c r="N7" s="26"/>
      <c r="O7" s="11"/>
      <c r="Q7" s="4"/>
      <c r="R7" s="67" t="s">
        <v>50</v>
      </c>
      <c r="S7" s="67"/>
      <c r="T7" s="67"/>
      <c r="U7" s="67"/>
    </row>
    <row r="8" spans="1:29" s="9" customFormat="1" ht="29.25" customHeight="1" x14ac:dyDescent="0.2">
      <c r="B8" s="64"/>
      <c r="D8" s="55"/>
      <c r="E8" s="55"/>
      <c r="F8" s="33"/>
      <c r="G8" s="26"/>
      <c r="H8" s="26"/>
      <c r="I8" s="27"/>
      <c r="J8" s="26"/>
      <c r="K8" s="26"/>
      <c r="L8" s="28"/>
      <c r="M8" s="26"/>
      <c r="N8" s="26"/>
      <c r="O8" s="11"/>
      <c r="Q8" s="4"/>
      <c r="R8" s="66" t="s">
        <v>96</v>
      </c>
      <c r="S8" s="67"/>
      <c r="T8" s="90"/>
      <c r="U8" s="33" t="s">
        <v>6</v>
      </c>
    </row>
    <row r="9" spans="1:29" s="9" customFormat="1" ht="29.25" customHeight="1" thickBot="1" x14ac:dyDescent="0.25">
      <c r="B9" s="64"/>
      <c r="D9" s="55"/>
      <c r="E9" s="55"/>
      <c r="F9" s="33"/>
      <c r="G9" s="26"/>
      <c r="H9" s="26"/>
      <c r="I9" s="27"/>
      <c r="J9" s="26"/>
      <c r="K9" s="26"/>
      <c r="L9" s="28"/>
      <c r="M9" s="26"/>
      <c r="N9" s="26"/>
      <c r="O9" s="11"/>
      <c r="Q9" s="4"/>
      <c r="R9" s="66" t="s">
        <v>97</v>
      </c>
      <c r="S9" s="67"/>
      <c r="T9" s="91"/>
      <c r="U9" s="33" t="s">
        <v>12</v>
      </c>
    </row>
    <row r="10" spans="1:29" s="9" customFormat="1" ht="0.75" customHeight="1" x14ac:dyDescent="0.2">
      <c r="B10" s="64"/>
      <c r="D10" s="55"/>
      <c r="E10" s="55"/>
      <c r="F10" s="33"/>
      <c r="G10" s="26"/>
      <c r="H10" s="26"/>
      <c r="I10" s="27"/>
      <c r="J10" s="26"/>
      <c r="K10" s="26"/>
      <c r="L10" s="28"/>
      <c r="M10" s="26"/>
      <c r="N10" s="26"/>
      <c r="O10" s="11"/>
      <c r="Q10" s="4"/>
      <c r="R10" s="66"/>
      <c r="S10" s="67"/>
      <c r="T10" s="93"/>
      <c r="U10" s="33"/>
    </row>
    <row r="11" spans="1:29" s="9" customFormat="1" ht="29.25" customHeight="1" thickBot="1" x14ac:dyDescent="0.25">
      <c r="B11" s="64"/>
      <c r="D11" s="55"/>
      <c r="E11" s="55"/>
      <c r="F11" s="33"/>
      <c r="G11" s="26"/>
      <c r="H11" s="26"/>
      <c r="I11" s="27"/>
      <c r="J11" s="26"/>
      <c r="K11" s="26"/>
      <c r="L11" s="28"/>
      <c r="M11" s="26"/>
      <c r="N11" s="26"/>
      <c r="O11" s="11"/>
      <c r="Q11" s="4"/>
      <c r="V11" s="67"/>
      <c r="AC11" s="4"/>
    </row>
    <row r="12" spans="1:29" ht="24" customHeight="1" x14ac:dyDescent="0.2">
      <c r="C12" s="20"/>
      <c r="D12" s="22"/>
      <c r="E12" s="22"/>
      <c r="F12" s="21"/>
      <c r="G12" s="21"/>
      <c r="H12" s="21"/>
      <c r="I12" s="20"/>
      <c r="J12" s="19"/>
      <c r="K12" s="19"/>
      <c r="L12" s="21"/>
      <c r="M12" s="21"/>
      <c r="N12" s="21"/>
      <c r="O12" s="5"/>
      <c r="P12" s="20"/>
      <c r="Q12" s="5"/>
      <c r="U12" s="54" t="s">
        <v>7</v>
      </c>
      <c r="W12" s="44"/>
      <c r="X12" s="164" t="s">
        <v>56</v>
      </c>
      <c r="Y12" s="164"/>
      <c r="Z12" s="164"/>
      <c r="AA12" s="164"/>
      <c r="AB12" s="45"/>
      <c r="AC12" s="8"/>
    </row>
    <row r="13" spans="1:29" ht="29.25" customHeight="1" thickBot="1" x14ac:dyDescent="0.25">
      <c r="B13" s="186" t="s">
        <v>2</v>
      </c>
      <c r="C13" s="187" t="s">
        <v>71</v>
      </c>
      <c r="D13" s="190" t="s">
        <v>81</v>
      </c>
      <c r="E13" s="111" t="s">
        <v>83</v>
      </c>
      <c r="F13" s="190" t="s">
        <v>70</v>
      </c>
      <c r="G13" s="42"/>
      <c r="H13" s="43"/>
      <c r="I13" s="193" t="s">
        <v>69</v>
      </c>
      <c r="J13" s="42"/>
      <c r="K13" s="43"/>
      <c r="L13" s="196" t="s">
        <v>68</v>
      </c>
      <c r="M13" s="42"/>
      <c r="N13" s="43"/>
      <c r="O13" s="12"/>
      <c r="P13" s="196" t="s">
        <v>79</v>
      </c>
      <c r="Q13" s="6"/>
      <c r="R13" s="198" t="s">
        <v>78</v>
      </c>
      <c r="S13" s="199"/>
      <c r="T13" s="199"/>
      <c r="U13" s="200"/>
      <c r="W13" s="57"/>
      <c r="X13" s="165"/>
      <c r="Y13" s="165"/>
      <c r="Z13" s="165"/>
      <c r="AA13" s="165"/>
      <c r="AB13" s="47"/>
      <c r="AC13" s="8"/>
    </row>
    <row r="14" spans="1:29" ht="29.25" customHeight="1" x14ac:dyDescent="0.2">
      <c r="B14" s="186"/>
      <c r="C14" s="188"/>
      <c r="D14" s="191"/>
      <c r="E14" s="201" t="s">
        <v>87</v>
      </c>
      <c r="F14" s="191"/>
      <c r="G14" s="172" t="s">
        <v>3</v>
      </c>
      <c r="H14" s="172" t="s">
        <v>9</v>
      </c>
      <c r="I14" s="194"/>
      <c r="J14" s="172" t="s">
        <v>4</v>
      </c>
      <c r="K14" s="172" t="s">
        <v>9</v>
      </c>
      <c r="L14" s="197"/>
      <c r="M14" s="183" t="s">
        <v>5</v>
      </c>
      <c r="N14" s="172" t="s">
        <v>9</v>
      </c>
      <c r="O14" s="10"/>
      <c r="P14" s="196"/>
      <c r="Q14" s="29"/>
      <c r="R14" s="174" t="s">
        <v>51</v>
      </c>
      <c r="S14" s="176" t="s">
        <v>98</v>
      </c>
      <c r="T14" s="176" t="s">
        <v>55</v>
      </c>
      <c r="U14" s="176" t="s">
        <v>77</v>
      </c>
      <c r="W14" s="46"/>
      <c r="X14" s="179" t="s">
        <v>67</v>
      </c>
      <c r="Y14" s="180"/>
      <c r="Z14" s="180"/>
      <c r="AA14" s="170">
        <f>$C$48</f>
        <v>0</v>
      </c>
      <c r="AB14" s="47"/>
    </row>
    <row r="15" spans="1:29" ht="30" customHeight="1" thickBot="1" x14ac:dyDescent="0.25">
      <c r="B15" s="186"/>
      <c r="C15" s="189"/>
      <c r="D15" s="192"/>
      <c r="E15" s="202"/>
      <c r="F15" s="192"/>
      <c r="G15" s="173"/>
      <c r="H15" s="173"/>
      <c r="I15" s="195"/>
      <c r="J15" s="173"/>
      <c r="K15" s="173"/>
      <c r="L15" s="197"/>
      <c r="M15" s="184"/>
      <c r="N15" s="173"/>
      <c r="O15" s="10"/>
      <c r="P15" s="196"/>
      <c r="Q15" s="29"/>
      <c r="R15" s="175"/>
      <c r="S15" s="177"/>
      <c r="T15" s="178"/>
      <c r="U15" s="178"/>
      <c r="W15" s="46"/>
      <c r="X15" s="181"/>
      <c r="Y15" s="182"/>
      <c r="Z15" s="182"/>
      <c r="AA15" s="171"/>
      <c r="AB15" s="47"/>
    </row>
    <row r="16" spans="1:29" ht="30.75" customHeight="1" x14ac:dyDescent="0.2">
      <c r="B16" s="68" t="s">
        <v>19</v>
      </c>
      <c r="C16" s="83"/>
      <c r="D16" s="83"/>
      <c r="E16" s="83"/>
      <c r="F16" s="87" t="str">
        <f>IF(C16="","",$D$4)</f>
        <v/>
      </c>
      <c r="G16" s="100">
        <f>MIN(C16,$D$4)</f>
        <v>0</v>
      </c>
      <c r="H16" s="100" t="e">
        <f>F16-G16</f>
        <v>#VALUE!</v>
      </c>
      <c r="I16" s="88" t="str">
        <f>IF(C16="","",MAX(ROUNDDOWN($P$3/365,0)-$D$4,0))</f>
        <v/>
      </c>
      <c r="J16" s="100">
        <f>MAX(MIN(C16-G16,ROUNDDOWN($P$3/365,0)-G16),0)</f>
        <v>0</v>
      </c>
      <c r="K16" s="100" t="e">
        <f>I16-J16</f>
        <v>#VALUE!</v>
      </c>
      <c r="L16" s="88" t="str">
        <f>IF(C16="","",R16+D16+S16+T16-U16)</f>
        <v/>
      </c>
      <c r="M16" s="109" t="e">
        <f>MAX(MIN(C16-G16-J16,R16+D16+S16+T16-U16),0)</f>
        <v>#VALUE!</v>
      </c>
      <c r="N16" s="109" t="e">
        <f>L16-M16</f>
        <v>#VALUE!</v>
      </c>
      <c r="O16" s="14"/>
      <c r="P16" s="97" t="str">
        <f>IF(C16="","",MAX(C16-(F16+I16+L16),0))</f>
        <v/>
      </c>
      <c r="Q16" s="15"/>
      <c r="R16" s="92" t="str">
        <f>IF(C16="","",ROUNDDOWN(ROUNDDOWN($P$3/365,0)*$D$5/100,0)+IFERROR(ROUNDDOWN(ROUNDDOWN(T$8/T$9,0)*$D$5/100,0),0))</f>
        <v/>
      </c>
      <c r="S16" s="92" t="str">
        <f>IF(C16="","",ROUNDDOWN((MAX(D16-E16-$P$4,0)*$D$6/100),0))</f>
        <v/>
      </c>
      <c r="T16" s="88" t="str">
        <f>IF(C16="","",ROUNDDOWN($T$4/$D$3,0)+$T$6)</f>
        <v/>
      </c>
      <c r="U16" s="97" t="str">
        <f>IF(C16="","",IF($AA$4="○",ROUNDDOWN((R16+D16+S16+T16)*25/100,0)+ROUNDDOWN(AA$6/$D$3,0),ROUNDDOWN(AA$6/$D$3,0)))</f>
        <v/>
      </c>
      <c r="V16" s="2"/>
      <c r="W16" s="46"/>
      <c r="X16" s="72"/>
      <c r="Y16" s="166" t="s">
        <v>74</v>
      </c>
      <c r="Z16" s="167"/>
      <c r="AA16" s="170">
        <f>$G$48</f>
        <v>0</v>
      </c>
      <c r="AB16" s="47"/>
    </row>
    <row r="17" spans="2:30" ht="30.75" customHeight="1" thickBot="1" x14ac:dyDescent="0.25">
      <c r="B17" s="68" t="s">
        <v>20</v>
      </c>
      <c r="C17" s="81"/>
      <c r="D17" s="81"/>
      <c r="E17" s="81"/>
      <c r="F17" s="87" t="str">
        <f>IF(C17="","",$D$4)</f>
        <v/>
      </c>
      <c r="G17" s="100">
        <f>MIN(C17,$D$4)</f>
        <v>0</v>
      </c>
      <c r="H17" s="100" t="e">
        <f>F17-G17</f>
        <v>#VALUE!</v>
      </c>
      <c r="I17" s="88" t="str">
        <f>IF(C17="","",MAX(ROUNDDOWN($P$3/365,0)-$D$4,0))</f>
        <v/>
      </c>
      <c r="J17" s="100">
        <f>MAX(MIN(C17-G17,ROUNDDOWN($P$3/365,0)-G17),0)</f>
        <v>0</v>
      </c>
      <c r="K17" s="100" t="e">
        <f>I17-J17</f>
        <v>#VALUE!</v>
      </c>
      <c r="L17" s="88" t="str">
        <f>IF(C17="","",R17+D17+S17+T17-U17)</f>
        <v/>
      </c>
      <c r="M17" s="109" t="e">
        <f>MAX(MIN(C17-G17-J17,R17+D17+S17+T17-U17),0)</f>
        <v>#VALUE!</v>
      </c>
      <c r="N17" s="109" t="e">
        <f t="shared" ref="N17:N46" si="0">L17-M17</f>
        <v>#VALUE!</v>
      </c>
      <c r="O17" s="14"/>
      <c r="P17" s="97" t="str">
        <f>IF(C17="","",MAX(C17-(F17+I17+L17),0))</f>
        <v/>
      </c>
      <c r="Q17" s="15"/>
      <c r="R17" s="92" t="str">
        <f>IF(C17="","",ROUNDDOWN(ROUNDDOWN($P$3/365,0)*$D$5/100,0)+IFERROR(ROUNDDOWN(ROUNDDOWN(T$8/T$9,0)*$D$5/100,0),0))</f>
        <v/>
      </c>
      <c r="S17" s="92" t="str">
        <f t="shared" ref="S17:S46" si="1">IF(C17="","",ROUNDDOWN((MAX(D17-E17-$P$4,0)*$D$6/100),0))</f>
        <v/>
      </c>
      <c r="T17" s="88" t="str">
        <f>IF(C17="","",ROUNDDOWN($T$4/$D$3,0)+$T$6)</f>
        <v/>
      </c>
      <c r="U17" s="97" t="str">
        <f t="shared" ref="U17:U46" si="2">IF(C17="","",IF($AA$4="○",ROUNDDOWN((R17+D17+S17+T17)*25/100,0)+ROUNDDOWN(AA$6/$D$3,0),ROUNDDOWN(AA$6/$D$3,0)))</f>
        <v/>
      </c>
      <c r="V17" s="2"/>
      <c r="W17" s="46"/>
      <c r="X17" s="72"/>
      <c r="Y17" s="168"/>
      <c r="Z17" s="169"/>
      <c r="AA17" s="171"/>
      <c r="AB17" s="47"/>
    </row>
    <row r="18" spans="2:30" ht="30.75" customHeight="1" x14ac:dyDescent="0.2">
      <c r="B18" s="68" t="s">
        <v>21</v>
      </c>
      <c r="C18" s="81"/>
      <c r="D18" s="81"/>
      <c r="E18" s="81"/>
      <c r="F18" s="87" t="str">
        <f t="shared" ref="F18:F27" si="3">IF(C18="","",$D$4)</f>
        <v/>
      </c>
      <c r="G18" s="100">
        <f t="shared" ref="G18:G28" si="4">MIN(C18,$D$4)</f>
        <v>0</v>
      </c>
      <c r="H18" s="100" t="e">
        <f t="shared" ref="H18:H46" si="5">F18-G18</f>
        <v>#VALUE!</v>
      </c>
      <c r="I18" s="88" t="str">
        <f t="shared" ref="I18:I28" si="6">IF(C18="","",MAX(ROUNDDOWN($P$3/365,0)-$D$4,0))</f>
        <v/>
      </c>
      <c r="J18" s="100">
        <f t="shared" ref="J18:J28" si="7">MAX(MIN(C18-G18,ROUNDDOWN($P$3/365,0)-G18),0)</f>
        <v>0</v>
      </c>
      <c r="K18" s="100" t="e">
        <f t="shared" ref="K18:K46" si="8">I18-J18</f>
        <v>#VALUE!</v>
      </c>
      <c r="L18" s="88" t="str">
        <f t="shared" ref="L18:L28" si="9">IF(C18="","",R18+D18+S18+T18-U18)</f>
        <v/>
      </c>
      <c r="M18" s="109" t="e">
        <f>MAX(MIN(C18-G18-J18,R18+D18+S18+T18-U18),0)</f>
        <v>#VALUE!</v>
      </c>
      <c r="N18" s="109" t="e">
        <f t="shared" si="0"/>
        <v>#VALUE!</v>
      </c>
      <c r="O18" s="14"/>
      <c r="P18" s="97" t="str">
        <f t="shared" ref="P18:P28" si="10">IF(C18="","",MAX(C18-(F18+I18+L18),0))</f>
        <v/>
      </c>
      <c r="Q18" s="15"/>
      <c r="R18" s="92" t="str">
        <f t="shared" ref="R18:R28" si="11">IF(C18="","",ROUNDDOWN(ROUNDDOWN($P$3/365,0)*$D$5/100,0)+IFERROR(ROUNDDOWN(ROUNDDOWN(T$8/T$9,0)*$D$5/100,0),0))</f>
        <v/>
      </c>
      <c r="S18" s="92" t="str">
        <f t="shared" si="1"/>
        <v/>
      </c>
      <c r="T18" s="88" t="str">
        <f t="shared" ref="T18:T28" si="12">IF(C18="","",ROUNDDOWN($T$4/$D$3,0)+$T$6)</f>
        <v/>
      </c>
      <c r="U18" s="97" t="str">
        <f t="shared" si="2"/>
        <v/>
      </c>
      <c r="V18" s="2"/>
      <c r="W18" s="46"/>
      <c r="X18" s="72"/>
      <c r="Y18" s="166" t="s">
        <v>59</v>
      </c>
      <c r="Z18" s="167"/>
      <c r="AA18" s="170">
        <f>$J$48</f>
        <v>0</v>
      </c>
      <c r="AB18" s="47"/>
    </row>
    <row r="19" spans="2:30" ht="30.75" customHeight="1" thickBot="1" x14ac:dyDescent="0.25">
      <c r="B19" s="68" t="s">
        <v>22</v>
      </c>
      <c r="C19" s="81"/>
      <c r="D19" s="81"/>
      <c r="E19" s="81"/>
      <c r="F19" s="87" t="str">
        <f t="shared" si="3"/>
        <v/>
      </c>
      <c r="G19" s="100">
        <f t="shared" si="4"/>
        <v>0</v>
      </c>
      <c r="H19" s="100" t="e">
        <f t="shared" si="5"/>
        <v>#VALUE!</v>
      </c>
      <c r="I19" s="88" t="str">
        <f t="shared" si="6"/>
        <v/>
      </c>
      <c r="J19" s="100">
        <f t="shared" si="7"/>
        <v>0</v>
      </c>
      <c r="K19" s="100" t="e">
        <f t="shared" si="8"/>
        <v>#VALUE!</v>
      </c>
      <c r="L19" s="88" t="str">
        <f t="shared" si="9"/>
        <v/>
      </c>
      <c r="M19" s="109" t="e">
        <f>MAX(MIN(C19-G19-J19,R19+D19+S19+T19-U19),0)</f>
        <v>#VALUE!</v>
      </c>
      <c r="N19" s="109" t="e">
        <f t="shared" si="0"/>
        <v>#VALUE!</v>
      </c>
      <c r="O19" s="14"/>
      <c r="P19" s="97" t="str">
        <f t="shared" si="10"/>
        <v/>
      </c>
      <c r="Q19" s="15"/>
      <c r="R19" s="92" t="str">
        <f t="shared" si="11"/>
        <v/>
      </c>
      <c r="S19" s="92" t="str">
        <f t="shared" si="1"/>
        <v/>
      </c>
      <c r="T19" s="88" t="str">
        <f>IF(C19="","",ROUNDDOWN($T$4/$D$3,0)+$T$6)</f>
        <v/>
      </c>
      <c r="U19" s="97" t="str">
        <f t="shared" si="2"/>
        <v/>
      </c>
      <c r="V19" s="2"/>
      <c r="W19" s="46"/>
      <c r="X19" s="72"/>
      <c r="Y19" s="168"/>
      <c r="Z19" s="169"/>
      <c r="AA19" s="171"/>
      <c r="AB19" s="47"/>
      <c r="AD19" s="25"/>
    </row>
    <row r="20" spans="2:30" ht="30.75" customHeight="1" x14ac:dyDescent="0.2">
      <c r="B20" s="68" t="s">
        <v>23</v>
      </c>
      <c r="C20" s="81"/>
      <c r="D20" s="81"/>
      <c r="E20" s="81"/>
      <c r="F20" s="87" t="str">
        <f t="shared" si="3"/>
        <v/>
      </c>
      <c r="G20" s="100">
        <f>MIN(C20,$D$4)</f>
        <v>0</v>
      </c>
      <c r="H20" s="100" t="e">
        <f t="shared" si="5"/>
        <v>#VALUE!</v>
      </c>
      <c r="I20" s="88" t="str">
        <f t="shared" si="6"/>
        <v/>
      </c>
      <c r="J20" s="100">
        <f>MAX(MIN(C20-G20,ROUNDDOWN($P$3/365,0)-G20),0)</f>
        <v>0</v>
      </c>
      <c r="K20" s="100" t="e">
        <f t="shared" si="8"/>
        <v>#VALUE!</v>
      </c>
      <c r="L20" s="88" t="str">
        <f t="shared" si="9"/>
        <v/>
      </c>
      <c r="M20" s="109" t="e">
        <f t="shared" ref="M20:M28" si="13">MAX(MIN(C20-G20-J20,R20+D20+S20+T20-U20),0)</f>
        <v>#VALUE!</v>
      </c>
      <c r="N20" s="109" t="e">
        <f t="shared" si="0"/>
        <v>#VALUE!</v>
      </c>
      <c r="O20" s="14"/>
      <c r="P20" s="97" t="str">
        <f t="shared" si="10"/>
        <v/>
      </c>
      <c r="Q20" s="15"/>
      <c r="R20" s="92" t="str">
        <f t="shared" si="11"/>
        <v/>
      </c>
      <c r="S20" s="92" t="str">
        <f t="shared" si="1"/>
        <v/>
      </c>
      <c r="T20" s="88" t="str">
        <f t="shared" si="12"/>
        <v/>
      </c>
      <c r="U20" s="97" t="str">
        <f t="shared" si="2"/>
        <v/>
      </c>
      <c r="V20" s="2"/>
      <c r="W20" s="46"/>
      <c r="X20" s="72"/>
      <c r="Y20" s="166" t="s">
        <v>60</v>
      </c>
      <c r="Z20" s="167"/>
      <c r="AA20" s="170">
        <f>$M$48</f>
        <v>0</v>
      </c>
      <c r="AB20" s="48"/>
    </row>
    <row r="21" spans="2:30" ht="30.75" customHeight="1" thickBot="1" x14ac:dyDescent="0.25">
      <c r="B21" s="68" t="s">
        <v>24</v>
      </c>
      <c r="C21" s="81"/>
      <c r="D21" s="81"/>
      <c r="E21" s="81"/>
      <c r="F21" s="87" t="str">
        <f t="shared" si="3"/>
        <v/>
      </c>
      <c r="G21" s="100">
        <f t="shared" si="4"/>
        <v>0</v>
      </c>
      <c r="H21" s="100" t="e">
        <f t="shared" si="5"/>
        <v>#VALUE!</v>
      </c>
      <c r="I21" s="88" t="str">
        <f t="shared" si="6"/>
        <v/>
      </c>
      <c r="J21" s="100">
        <f t="shared" si="7"/>
        <v>0</v>
      </c>
      <c r="K21" s="100" t="e">
        <f t="shared" si="8"/>
        <v>#VALUE!</v>
      </c>
      <c r="L21" s="88" t="str">
        <f t="shared" si="9"/>
        <v/>
      </c>
      <c r="M21" s="109" t="e">
        <f t="shared" si="13"/>
        <v>#VALUE!</v>
      </c>
      <c r="N21" s="109" t="e">
        <f t="shared" si="0"/>
        <v>#VALUE!</v>
      </c>
      <c r="O21" s="14"/>
      <c r="P21" s="97" t="str">
        <f t="shared" si="10"/>
        <v/>
      </c>
      <c r="Q21" s="15"/>
      <c r="R21" s="92" t="str">
        <f t="shared" si="11"/>
        <v/>
      </c>
      <c r="S21" s="92" t="str">
        <f t="shared" si="1"/>
        <v/>
      </c>
      <c r="T21" s="88" t="str">
        <f t="shared" si="12"/>
        <v/>
      </c>
      <c r="U21" s="97" t="str">
        <f t="shared" si="2"/>
        <v/>
      </c>
      <c r="V21" s="2"/>
      <c r="W21" s="46"/>
      <c r="X21" s="72"/>
      <c r="Y21" s="168"/>
      <c r="Z21" s="169"/>
      <c r="AA21" s="171"/>
      <c r="AB21" s="48"/>
    </row>
    <row r="22" spans="2:30" ht="30.75" customHeight="1" x14ac:dyDescent="0.2">
      <c r="B22" s="68" t="s">
        <v>25</v>
      </c>
      <c r="C22" s="81"/>
      <c r="D22" s="81"/>
      <c r="E22" s="81"/>
      <c r="F22" s="87" t="str">
        <f t="shared" si="3"/>
        <v/>
      </c>
      <c r="G22" s="100">
        <f t="shared" si="4"/>
        <v>0</v>
      </c>
      <c r="H22" s="100" t="e">
        <f t="shared" si="5"/>
        <v>#VALUE!</v>
      </c>
      <c r="I22" s="88" t="str">
        <f t="shared" si="6"/>
        <v/>
      </c>
      <c r="J22" s="100">
        <f t="shared" si="7"/>
        <v>0</v>
      </c>
      <c r="K22" s="100" t="e">
        <f t="shared" si="8"/>
        <v>#VALUE!</v>
      </c>
      <c r="L22" s="88" t="str">
        <f t="shared" si="9"/>
        <v/>
      </c>
      <c r="M22" s="109" t="e">
        <f t="shared" si="13"/>
        <v>#VALUE!</v>
      </c>
      <c r="N22" s="109" t="e">
        <f t="shared" si="0"/>
        <v>#VALUE!</v>
      </c>
      <c r="O22" s="14"/>
      <c r="P22" s="97" t="str">
        <f t="shared" si="10"/>
        <v/>
      </c>
      <c r="Q22" s="15"/>
      <c r="R22" s="92" t="str">
        <f t="shared" si="11"/>
        <v/>
      </c>
      <c r="S22" s="92" t="str">
        <f t="shared" si="1"/>
        <v/>
      </c>
      <c r="T22" s="88" t="str">
        <f t="shared" si="12"/>
        <v/>
      </c>
      <c r="U22" s="97" t="str">
        <f t="shared" si="2"/>
        <v/>
      </c>
      <c r="V22" s="2"/>
      <c r="W22" s="46"/>
      <c r="X22" s="73"/>
      <c r="Y22" s="158" t="s">
        <v>57</v>
      </c>
      <c r="Z22" s="159"/>
      <c r="AA22" s="162">
        <f>MAX($C$48-$AA$16-$AA$18-$AA$20,0)</f>
        <v>0</v>
      </c>
      <c r="AB22" s="48"/>
    </row>
    <row r="23" spans="2:30" ht="30.75" customHeight="1" thickBot="1" x14ac:dyDescent="0.25">
      <c r="B23" s="68" t="s">
        <v>26</v>
      </c>
      <c r="C23" s="81"/>
      <c r="D23" s="81"/>
      <c r="E23" s="81"/>
      <c r="F23" s="87" t="str">
        <f t="shared" si="3"/>
        <v/>
      </c>
      <c r="G23" s="100">
        <f t="shared" si="4"/>
        <v>0</v>
      </c>
      <c r="H23" s="100" t="e">
        <f t="shared" si="5"/>
        <v>#VALUE!</v>
      </c>
      <c r="I23" s="88" t="str">
        <f t="shared" si="6"/>
        <v/>
      </c>
      <c r="J23" s="100">
        <f t="shared" si="7"/>
        <v>0</v>
      </c>
      <c r="K23" s="100" t="e">
        <f t="shared" si="8"/>
        <v>#VALUE!</v>
      </c>
      <c r="L23" s="88" t="str">
        <f t="shared" si="9"/>
        <v/>
      </c>
      <c r="M23" s="109" t="e">
        <f t="shared" si="13"/>
        <v>#VALUE!</v>
      </c>
      <c r="N23" s="109" t="e">
        <f t="shared" si="0"/>
        <v>#VALUE!</v>
      </c>
      <c r="O23" s="14"/>
      <c r="P23" s="97" t="str">
        <f t="shared" si="10"/>
        <v/>
      </c>
      <c r="Q23" s="15"/>
      <c r="R23" s="92" t="str">
        <f t="shared" si="11"/>
        <v/>
      </c>
      <c r="S23" s="92" t="str">
        <f t="shared" si="1"/>
        <v/>
      </c>
      <c r="T23" s="88" t="str">
        <f t="shared" si="12"/>
        <v/>
      </c>
      <c r="U23" s="97" t="str">
        <f t="shared" si="2"/>
        <v/>
      </c>
      <c r="V23" s="2"/>
      <c r="W23" s="49"/>
      <c r="X23" s="74"/>
      <c r="Y23" s="160"/>
      <c r="Z23" s="161"/>
      <c r="AA23" s="163"/>
      <c r="AB23" s="50"/>
    </row>
    <row r="24" spans="2:30" ht="30.75" customHeight="1" thickBot="1" x14ac:dyDescent="0.25">
      <c r="B24" s="68" t="s">
        <v>27</v>
      </c>
      <c r="C24" s="81"/>
      <c r="D24" s="81"/>
      <c r="E24" s="81"/>
      <c r="F24" s="87" t="str">
        <f t="shared" si="3"/>
        <v/>
      </c>
      <c r="G24" s="100">
        <f t="shared" si="4"/>
        <v>0</v>
      </c>
      <c r="H24" s="100" t="e">
        <f t="shared" si="5"/>
        <v>#VALUE!</v>
      </c>
      <c r="I24" s="88" t="str">
        <f t="shared" si="6"/>
        <v/>
      </c>
      <c r="J24" s="100">
        <f t="shared" si="7"/>
        <v>0</v>
      </c>
      <c r="K24" s="100" t="e">
        <f t="shared" si="8"/>
        <v>#VALUE!</v>
      </c>
      <c r="L24" s="88" t="str">
        <f t="shared" si="9"/>
        <v/>
      </c>
      <c r="M24" s="109" t="e">
        <f t="shared" si="13"/>
        <v>#VALUE!</v>
      </c>
      <c r="N24" s="109" t="e">
        <f t="shared" si="0"/>
        <v>#VALUE!</v>
      </c>
      <c r="O24" s="14"/>
      <c r="P24" s="97" t="str">
        <f t="shared" si="10"/>
        <v/>
      </c>
      <c r="Q24" s="15"/>
      <c r="R24" s="92" t="str">
        <f t="shared" si="11"/>
        <v/>
      </c>
      <c r="S24" s="92" t="str">
        <f t="shared" si="1"/>
        <v/>
      </c>
      <c r="T24" s="88" t="str">
        <f t="shared" si="12"/>
        <v/>
      </c>
      <c r="U24" s="97" t="str">
        <f t="shared" si="2"/>
        <v/>
      </c>
      <c r="V24" s="2"/>
      <c r="W24" s="52"/>
      <c r="X24" s="53"/>
      <c r="Y24" s="53"/>
      <c r="Z24" s="53"/>
      <c r="AA24" s="53"/>
      <c r="AB24" s="78"/>
    </row>
    <row r="25" spans="2:30" ht="30.75" customHeight="1" x14ac:dyDescent="0.2">
      <c r="B25" s="68" t="s">
        <v>28</v>
      </c>
      <c r="C25" s="81"/>
      <c r="D25" s="81"/>
      <c r="E25" s="81"/>
      <c r="F25" s="87" t="str">
        <f t="shared" si="3"/>
        <v/>
      </c>
      <c r="G25" s="100">
        <f t="shared" si="4"/>
        <v>0</v>
      </c>
      <c r="H25" s="100" t="e">
        <f t="shared" si="5"/>
        <v>#VALUE!</v>
      </c>
      <c r="I25" s="88" t="str">
        <f t="shared" si="6"/>
        <v/>
      </c>
      <c r="J25" s="100">
        <f t="shared" si="7"/>
        <v>0</v>
      </c>
      <c r="K25" s="100" t="e">
        <f t="shared" si="8"/>
        <v>#VALUE!</v>
      </c>
      <c r="L25" s="88" t="str">
        <f>IF(C25="","",R25+D25+S25+T25-U25)</f>
        <v/>
      </c>
      <c r="M25" s="109" t="e">
        <f t="shared" si="13"/>
        <v>#VALUE!</v>
      </c>
      <c r="N25" s="109" t="e">
        <f t="shared" si="0"/>
        <v>#VALUE!</v>
      </c>
      <c r="O25" s="14"/>
      <c r="P25" s="97" t="str">
        <f t="shared" si="10"/>
        <v/>
      </c>
      <c r="Q25" s="15"/>
      <c r="R25" s="92" t="str">
        <f t="shared" si="11"/>
        <v/>
      </c>
      <c r="S25" s="92" t="str">
        <f t="shared" si="1"/>
        <v/>
      </c>
      <c r="T25" s="88" t="str">
        <f>IF(C25="","",ROUNDDOWN($T$4/$D$3,0)+$T$6)</f>
        <v/>
      </c>
      <c r="U25" s="97" t="str">
        <f>IF(C25="","",IF($AA$4="○",ROUNDDOWN((R25+D25+S25+T25)*25/100,0)+ROUNDDOWN(AA$6/$D$3,0),ROUNDDOWN(AA$6/$D$3,0)))</f>
        <v/>
      </c>
      <c r="V25" s="2"/>
    </row>
    <row r="26" spans="2:30" ht="30.75" customHeight="1" thickBot="1" x14ac:dyDescent="0.25">
      <c r="B26" s="68" t="s">
        <v>29</v>
      </c>
      <c r="C26" s="81"/>
      <c r="D26" s="81"/>
      <c r="E26" s="81"/>
      <c r="F26" s="87" t="str">
        <f t="shared" si="3"/>
        <v/>
      </c>
      <c r="G26" s="100">
        <f t="shared" si="4"/>
        <v>0</v>
      </c>
      <c r="H26" s="100" t="e">
        <f t="shared" si="5"/>
        <v>#VALUE!</v>
      </c>
      <c r="I26" s="88" t="str">
        <f t="shared" si="6"/>
        <v/>
      </c>
      <c r="J26" s="100">
        <f t="shared" si="7"/>
        <v>0</v>
      </c>
      <c r="K26" s="100" t="e">
        <f>I26-J26</f>
        <v>#VALUE!</v>
      </c>
      <c r="L26" s="88" t="str">
        <f t="shared" si="9"/>
        <v/>
      </c>
      <c r="M26" s="109" t="e">
        <f t="shared" si="13"/>
        <v>#VALUE!</v>
      </c>
      <c r="N26" s="109" t="e">
        <f t="shared" si="0"/>
        <v>#VALUE!</v>
      </c>
      <c r="O26" s="14"/>
      <c r="P26" s="97" t="str">
        <f t="shared" si="10"/>
        <v/>
      </c>
      <c r="Q26" s="15"/>
      <c r="R26" s="92" t="str">
        <f t="shared" si="11"/>
        <v/>
      </c>
      <c r="S26" s="92" t="str">
        <f t="shared" si="1"/>
        <v/>
      </c>
      <c r="T26" s="88" t="str">
        <f t="shared" si="12"/>
        <v/>
      </c>
      <c r="U26" s="97" t="str">
        <f t="shared" si="2"/>
        <v/>
      </c>
      <c r="V26" s="2"/>
    </row>
    <row r="27" spans="2:30" ht="30.75" customHeight="1" x14ac:dyDescent="0.2">
      <c r="B27" s="68" t="s">
        <v>30</v>
      </c>
      <c r="C27" s="81"/>
      <c r="D27" s="81"/>
      <c r="E27" s="81"/>
      <c r="F27" s="87" t="str">
        <f t="shared" si="3"/>
        <v/>
      </c>
      <c r="G27" s="100">
        <f t="shared" si="4"/>
        <v>0</v>
      </c>
      <c r="H27" s="100" t="e">
        <f t="shared" si="5"/>
        <v>#VALUE!</v>
      </c>
      <c r="I27" s="88" t="str">
        <f t="shared" si="6"/>
        <v/>
      </c>
      <c r="J27" s="100">
        <f t="shared" si="7"/>
        <v>0</v>
      </c>
      <c r="K27" s="100" t="e">
        <f t="shared" si="8"/>
        <v>#VALUE!</v>
      </c>
      <c r="L27" s="88" t="str">
        <f t="shared" si="9"/>
        <v/>
      </c>
      <c r="M27" s="109" t="e">
        <f t="shared" si="13"/>
        <v>#VALUE!</v>
      </c>
      <c r="N27" s="109" t="e">
        <f t="shared" si="0"/>
        <v>#VALUE!</v>
      </c>
      <c r="O27" s="14"/>
      <c r="P27" s="97" t="str">
        <f t="shared" si="10"/>
        <v/>
      </c>
      <c r="Q27" s="15"/>
      <c r="R27" s="92" t="str">
        <f t="shared" si="11"/>
        <v/>
      </c>
      <c r="S27" s="92" t="str">
        <f t="shared" si="1"/>
        <v/>
      </c>
      <c r="T27" s="88" t="str">
        <f t="shared" si="12"/>
        <v/>
      </c>
      <c r="U27" s="97" t="str">
        <f t="shared" si="2"/>
        <v/>
      </c>
      <c r="V27" s="2"/>
      <c r="W27" s="44"/>
      <c r="X27" s="164" t="s">
        <v>75</v>
      </c>
      <c r="Y27" s="164"/>
      <c r="Z27" s="164"/>
      <c r="AA27" s="164"/>
      <c r="AB27" s="45"/>
    </row>
    <row r="28" spans="2:30" ht="30.75" customHeight="1" x14ac:dyDescent="0.2">
      <c r="B28" s="68" t="s">
        <v>31</v>
      </c>
      <c r="C28" s="81"/>
      <c r="D28" s="81"/>
      <c r="E28" s="81"/>
      <c r="F28" s="87" t="str">
        <f>IF(C28="","",$D$4)</f>
        <v/>
      </c>
      <c r="G28" s="100">
        <f t="shared" si="4"/>
        <v>0</v>
      </c>
      <c r="H28" s="100" t="e">
        <f t="shared" si="5"/>
        <v>#VALUE!</v>
      </c>
      <c r="I28" s="88" t="str">
        <f t="shared" si="6"/>
        <v/>
      </c>
      <c r="J28" s="100">
        <f t="shared" si="7"/>
        <v>0</v>
      </c>
      <c r="K28" s="100" t="e">
        <f t="shared" si="8"/>
        <v>#VALUE!</v>
      </c>
      <c r="L28" s="88" t="str">
        <f t="shared" si="9"/>
        <v/>
      </c>
      <c r="M28" s="109" t="e">
        <f t="shared" si="13"/>
        <v>#VALUE!</v>
      </c>
      <c r="N28" s="109" t="e">
        <f t="shared" si="0"/>
        <v>#VALUE!</v>
      </c>
      <c r="O28" s="14"/>
      <c r="P28" s="97" t="str">
        <f t="shared" si="10"/>
        <v/>
      </c>
      <c r="Q28" s="15"/>
      <c r="R28" s="92" t="str">
        <f t="shared" si="11"/>
        <v/>
      </c>
      <c r="S28" s="92" t="str">
        <f t="shared" si="1"/>
        <v/>
      </c>
      <c r="T28" s="88" t="str">
        <f t="shared" si="12"/>
        <v/>
      </c>
      <c r="U28" s="97" t="str">
        <f t="shared" si="2"/>
        <v/>
      </c>
      <c r="V28" s="2"/>
      <c r="W28" s="46"/>
      <c r="X28" s="165"/>
      <c r="Y28" s="165"/>
      <c r="Z28" s="165"/>
      <c r="AA28" s="165"/>
      <c r="AB28" s="47"/>
    </row>
    <row r="29" spans="2:30" ht="30.75" customHeight="1" x14ac:dyDescent="0.2">
      <c r="B29" s="68" t="s">
        <v>32</v>
      </c>
      <c r="C29" s="81"/>
      <c r="D29" s="81"/>
      <c r="E29" s="81"/>
      <c r="F29" s="87" t="str">
        <f>IF(C29="","",IF(VALUE(LEFT(B29,2))&gt;$D$3,"",$D$4))</f>
        <v/>
      </c>
      <c r="G29" s="100" t="str">
        <f>IF(VALUE(LEFT(B29,2))&gt;$D$3,"",MIN(C29,$D$4))</f>
        <v/>
      </c>
      <c r="H29" s="100" t="str">
        <f>IF(VALUE(LEFT(B29,2))&gt;$D$3,"",F29-G29)</f>
        <v/>
      </c>
      <c r="I29" s="88" t="str">
        <f>IF(C29="","",IF(VALUE(LEFT(B29,2))&gt;$D$3,"",MAX(ROUNDDOWN($P$3/365,0)-$D$4,0)))</f>
        <v/>
      </c>
      <c r="J29" s="100" t="str">
        <f>IF(VALUE(LEFT(B29,2))&gt;$D$3,"",MAX(MIN(C29-G29,ROUNDDOWN($P$3/365,0)-G29),0))</f>
        <v/>
      </c>
      <c r="K29" s="100" t="str">
        <f>IF(VALUE(LEFT(B29,2))&gt;$D$3,"",I29-J29)</f>
        <v/>
      </c>
      <c r="L29" s="88" t="str">
        <f>IF(C29="","",IF(VALUE(LEFT(B29,2))&gt;$D$3,"",R29+D29+S29+T29-U29))</f>
        <v/>
      </c>
      <c r="M29" s="109" t="str">
        <f>IF(VALUE(LEFT(B29,2))&gt;D$3,"",MAX(MIN(C29-G29-J29,R29+D29+S29+T29-U29),0))</f>
        <v/>
      </c>
      <c r="N29" s="109" t="str">
        <f>IF(VALUE(LEFT(B29,2))&gt;$D$3,"",L29-M29)</f>
        <v/>
      </c>
      <c r="O29" s="14"/>
      <c r="P29" s="97" t="str">
        <f>IF(C29="","",IF(VALUE(LEFT(B29,2))&gt;$D$3,"",MAX(C29-(F29+I29+L29),0)))</f>
        <v/>
      </c>
      <c r="Q29" s="15"/>
      <c r="R29" s="92" t="str">
        <f>IF(C29="","",IF(VALUE(LEFT(B29,2))&gt;$D$3,"",ROUNDDOWN(ROUNDDOWN($P$3/365,0)*D$5/100,0)+IFERROR(ROUNDDOWN(ROUNDDOWN(T$8/T$9,0)*$D$5/100,0),0)))</f>
        <v/>
      </c>
      <c r="S29" s="92" t="str">
        <f>IF(C29="","",IF(VALUE(LEFT(B29,2))&gt;$D$3,"",ROUNDDOWN((MAX(D29-E29-$P$4,0)*$D$6/100),0)))</f>
        <v/>
      </c>
      <c r="T29" s="88" t="str">
        <f>IF(C29="","",IF(VALUE(LEFT(B29,2))&gt;$D$3,"",ROUNDDOWN($T$4/$D$3,0)+$T$6))</f>
        <v/>
      </c>
      <c r="U29" s="97" t="str">
        <f>IF(C29="","",IF(VALUE(LEFT(B29,2))&gt;$D$3,"",IF($AA$4="○",ROUNDDOWN((R29+D29+S29+T29)*25/100,0)+ROUNDDOWN(AA$6/$D$3,0),ROUNDDOWN(AA$6/$D$3,0))))</f>
        <v/>
      </c>
      <c r="V29" s="2"/>
      <c r="W29" s="49"/>
      <c r="X29" s="156" t="s">
        <v>52</v>
      </c>
      <c r="Y29" s="156"/>
      <c r="Z29" s="157" t="s">
        <v>61</v>
      </c>
      <c r="AA29" s="156" t="s">
        <v>62</v>
      </c>
      <c r="AB29" s="50"/>
    </row>
    <row r="30" spans="2:30" ht="30.75" customHeight="1" x14ac:dyDescent="0.2">
      <c r="B30" s="68" t="s">
        <v>33</v>
      </c>
      <c r="C30" s="81"/>
      <c r="D30" s="81"/>
      <c r="E30" s="81"/>
      <c r="F30" s="87" t="str">
        <f>IF(C30="","",IF(VALUE(LEFT(B30,2))&gt;$D$3,"",$D$4))</f>
        <v/>
      </c>
      <c r="G30" s="100" t="str">
        <f>IF(VALUE(LEFT(B30,2))&gt;$D$3,"",MIN(C30,$D$4))</f>
        <v/>
      </c>
      <c r="H30" s="100" t="str">
        <f>IF(VALUE(LEFT(B30,2))&gt;$D$3,"",F30-G30)</f>
        <v/>
      </c>
      <c r="I30" s="88" t="str">
        <f>IF(C30="","",IF(VALUE(LEFT(B30,2))&gt;$D$3,"",MAX(ROUNDDOWN($P$3/365,0)-$D$4,0)))</f>
        <v/>
      </c>
      <c r="J30" s="100" t="str">
        <f>IF(VALUE(LEFT(B30,2))&gt;$D$3,"",MAX(MIN(C30-G30,ROUNDDOWN($P$3/365,0)-G30),0))</f>
        <v/>
      </c>
      <c r="K30" s="100" t="str">
        <f>IF(VALUE(LEFT(B30,2))&gt;$D$3,"",I30-J30)</f>
        <v/>
      </c>
      <c r="L30" s="88" t="str">
        <f>IF(C30="","",IF(VALUE(LEFT(B30,2))&gt;$D$3,"",R30+D30+S30+T30-U30))</f>
        <v/>
      </c>
      <c r="M30" s="109" t="str">
        <f>IF(VALUE(LEFT(B30,2))&gt;D$3,"",MAX(MIN(C30-G30-J30,R30+D30+S30+T30-U30),0))</f>
        <v/>
      </c>
      <c r="N30" s="109" t="str">
        <f>IF(VALUE(LEFT(B30,2))&gt;$D$3,"",L30-M30)</f>
        <v/>
      </c>
      <c r="O30" s="14"/>
      <c r="P30" s="97" t="str">
        <f>IF(C30="","",IF(VALUE(LEFT(B30,2))&gt;$D$3,"",MAX(C30-(F30+I30+L30),0)))</f>
        <v/>
      </c>
      <c r="Q30" s="15"/>
      <c r="R30" s="92" t="str">
        <f>IF(C30="","",IF(VALUE(LEFT(B30,2))&gt;$D$3,"",ROUNDDOWN(ROUNDDOWN($P$3/365,0)*D$5/100,0)+IFERROR(ROUNDDOWN(ROUNDDOWN(T$8/T$9,0)*$D$5/100,0),0)))</f>
        <v/>
      </c>
      <c r="S30" s="92" t="str">
        <f>IF(C30="","",IF(VALUE(LEFT(B30,2))&gt;$D$3,"",ROUNDDOWN((MAX(D30-E30-$P$4,0)*$D$6/100),0)))</f>
        <v/>
      </c>
      <c r="T30" s="88" t="str">
        <f>IF(C30="","",IF(VALUE(LEFT(B30,2))&gt;$D$3,"",ROUNDDOWN($T$4/$D$3,0)+$T$6))</f>
        <v/>
      </c>
      <c r="U30" s="97" t="str">
        <f>IF(C30="","",IF(VALUE(LEFT(B30,2))&gt;$D$3,"",IF($AA$4="○",ROUNDDOWN((R30+D30+S30+T30)*25/100,0)+ROUNDDOWN(AA$6/$D$3,0),ROUNDDOWN(AA$6/$D$3,0))))</f>
        <v/>
      </c>
      <c r="V30" s="24"/>
      <c r="W30" s="46"/>
      <c r="X30" s="156"/>
      <c r="Y30" s="156"/>
      <c r="Z30" s="157"/>
      <c r="AA30" s="156"/>
      <c r="AB30" s="47"/>
    </row>
    <row r="31" spans="2:30" ht="30.75" customHeight="1" x14ac:dyDescent="0.2">
      <c r="B31" s="68" t="s">
        <v>34</v>
      </c>
      <c r="C31" s="81"/>
      <c r="D31" s="81"/>
      <c r="E31" s="81"/>
      <c r="F31" s="87" t="str">
        <f>IF(C31="","",IF(VALUE(LEFT(B31,2))&gt;$D$3,"",$D$4))</f>
        <v/>
      </c>
      <c r="G31" s="100" t="str">
        <f>IF(VALUE(LEFT(B31,2))&gt;$D$3,"",MIN(C31,$D$4))</f>
        <v/>
      </c>
      <c r="H31" s="100" t="str">
        <f>IF(VALUE(LEFT(B31,2))&gt;$D$3,"",F31-G31)</f>
        <v/>
      </c>
      <c r="I31" s="88" t="str">
        <f>IF(C31="","",IF(VALUE(LEFT(B31,2))&gt;$D$3,"",MAX(ROUNDDOWN($P$3/365,0)-$D$4,0)))</f>
        <v/>
      </c>
      <c r="J31" s="100" t="str">
        <f>IF(VALUE(LEFT(B31,2))&gt;$D$3,"",MAX(MIN(C31-G31,ROUNDDOWN($P$3/365,0)-G31),0))</f>
        <v/>
      </c>
      <c r="K31" s="100" t="str">
        <f>IF(VALUE(LEFT(B31,2))&gt;$D$3,"",I31-J31)</f>
        <v/>
      </c>
      <c r="L31" s="88" t="str">
        <f>IF(C31="","",IF(VALUE(LEFT(B31,2))&gt;$D$3,"",R31+D31+S31+T31-U31))</f>
        <v/>
      </c>
      <c r="M31" s="109" t="str">
        <f>IF(VALUE(LEFT(B31,2))&gt;D$3,"",MAX(MIN(C31-G31-J31,R31+D31+S31+T31-U31),0))</f>
        <v/>
      </c>
      <c r="N31" s="109" t="str">
        <f>IF(VALUE(LEFT(B31,2))&gt;$D$3,"",L31-M31)</f>
        <v/>
      </c>
      <c r="O31" s="14"/>
      <c r="P31" s="97" t="str">
        <f>IF(C31="","",IF(VALUE(LEFT(B31,2))&gt;$D$3,"",MAX(C31-(F31+I31+L31),0)))</f>
        <v/>
      </c>
      <c r="Q31" s="15"/>
      <c r="R31" s="92" t="str">
        <f>IF(C31="","",IF(VALUE(LEFT(B31,2))&gt;$D$3,"",ROUNDDOWN(ROUNDDOWN($P$3/365,0)*D$5/100,0)+IFERROR(ROUNDDOWN(ROUNDDOWN(T$8/T$9,0)*$D$5/100,0),0)))</f>
        <v/>
      </c>
      <c r="S31" s="92" t="str">
        <f>IF(C31="","",IF(VALUE(LEFT(B31,2))&gt;$D$3,"",ROUNDDOWN((MAX(D31-E31-$P$4,0)*$D$6/100),0)))</f>
        <v/>
      </c>
      <c r="T31" s="88" t="str">
        <f>IF(C31="","",IF(VALUE(LEFT(B31,2))&gt;$D$3,"",ROUNDDOWN($T$4/$D$3,0)+$T$6))</f>
        <v/>
      </c>
      <c r="U31" s="97" t="str">
        <f>IF(C31="","",IF(VALUE(LEFT(B31,2))&gt;$D$3,"",IF($AA$4="○",ROUNDDOWN((R31+D31+S31+T31)*25/100,0)+ROUNDDOWN(AA$6/$D$3,0),ROUNDDOWN(AA$6/$D$3,0))))</f>
        <v/>
      </c>
      <c r="V31" s="2"/>
      <c r="W31" s="49"/>
      <c r="X31" s="156"/>
      <c r="Y31" s="156"/>
      <c r="Z31" s="77">
        <f>$D$4*$D$3</f>
        <v>0</v>
      </c>
      <c r="AA31" s="77">
        <f>MAX($Z$31-$AA$16,0)</f>
        <v>0</v>
      </c>
      <c r="AB31" s="51"/>
      <c r="AC31" s="8"/>
      <c r="AD31" s="8"/>
    </row>
    <row r="32" spans="2:30" ht="30.75" customHeight="1" x14ac:dyDescent="0.2">
      <c r="B32" s="68" t="s">
        <v>18</v>
      </c>
      <c r="C32" s="81"/>
      <c r="D32" s="81"/>
      <c r="E32" s="81"/>
      <c r="F32" s="87" t="str">
        <f>IF(C32="","",$D$4)</f>
        <v/>
      </c>
      <c r="G32" s="100">
        <f t="shared" ref="G32:G46" si="14">MIN(C32,$D$4)</f>
        <v>0</v>
      </c>
      <c r="H32" s="100" t="e">
        <f t="shared" si="5"/>
        <v>#VALUE!</v>
      </c>
      <c r="I32" s="88" t="str">
        <f>IF(C32="","",MAX(ROUNDDOWN($P$3/365,0)-$D$4,0))</f>
        <v/>
      </c>
      <c r="J32" s="100">
        <f t="shared" ref="J32:J46" si="15">MAX(MIN(C32-G32,ROUNDDOWN($P$3/365,0)-G32),0)</f>
        <v>0</v>
      </c>
      <c r="K32" s="100" t="e">
        <f>I32-J32</f>
        <v>#VALUE!</v>
      </c>
      <c r="L32" s="88" t="str">
        <f>IF(C32="","",R32+D32+S32+T32-U32)</f>
        <v/>
      </c>
      <c r="M32" s="109" t="e">
        <f>MAX(MIN(C32-G32-J32,R32+D32+S32+T32-U32),0)</f>
        <v>#VALUE!</v>
      </c>
      <c r="N32" s="109" t="e">
        <f t="shared" si="0"/>
        <v>#VALUE!</v>
      </c>
      <c r="O32" s="14"/>
      <c r="P32" s="97" t="str">
        <f t="shared" ref="P32:P46" si="16">IF(C32="","",MAX(C32-(F32+I32+L32),0))</f>
        <v/>
      </c>
      <c r="Q32" s="15"/>
      <c r="R32" s="92" t="str">
        <f t="shared" ref="R32:R46" si="17">IF(C32="","",ROUNDDOWN(ROUNDDOWN($P$3/365,0)*$D$5/100,0)+IFERROR(ROUNDDOWN(ROUNDDOWN(T$8/T$9,0)*$D$5/100,0),0))</f>
        <v/>
      </c>
      <c r="S32" s="92" t="str">
        <f t="shared" si="1"/>
        <v/>
      </c>
      <c r="T32" s="88" t="str">
        <f t="shared" ref="T32:T46" si="18">IF(C32="","",ROUNDDOWN($T$4/$D$3,0)+$T$6)</f>
        <v/>
      </c>
      <c r="U32" s="97" t="str">
        <f t="shared" si="2"/>
        <v/>
      </c>
      <c r="V32" s="2"/>
      <c r="W32" s="46"/>
      <c r="X32" s="156" t="s">
        <v>53</v>
      </c>
      <c r="Y32" s="156"/>
      <c r="Z32" s="157" t="s">
        <v>63</v>
      </c>
      <c r="AA32" s="156" t="s">
        <v>65</v>
      </c>
      <c r="AB32" s="47"/>
    </row>
    <row r="33" spans="2:28" ht="30.75" customHeight="1" x14ac:dyDescent="0.2">
      <c r="B33" s="68" t="s">
        <v>35</v>
      </c>
      <c r="C33" s="81"/>
      <c r="D33" s="81"/>
      <c r="E33" s="81"/>
      <c r="F33" s="87" t="str">
        <f t="shared" ref="F33:F45" si="19">IF(C33="","",$D$4)</f>
        <v/>
      </c>
      <c r="G33" s="100">
        <f t="shared" si="14"/>
        <v>0</v>
      </c>
      <c r="H33" s="100" t="e">
        <f t="shared" si="5"/>
        <v>#VALUE!</v>
      </c>
      <c r="I33" s="88" t="str">
        <f t="shared" ref="I33:I45" si="20">IF(C33="","",MAX(ROUNDDOWN($P$3/365,0)-$D$4,0))</f>
        <v/>
      </c>
      <c r="J33" s="100">
        <f t="shared" si="15"/>
        <v>0</v>
      </c>
      <c r="K33" s="100" t="e">
        <f t="shared" si="8"/>
        <v>#VALUE!</v>
      </c>
      <c r="L33" s="88" t="str">
        <f>IF(C33="","",R33+D33+S33+T33-U33)</f>
        <v/>
      </c>
      <c r="M33" s="109" t="e">
        <f t="shared" ref="M33:M45" si="21">MAX(MIN(C33-G33-J33,R33+D33+S33+T33-U33),0)</f>
        <v>#VALUE!</v>
      </c>
      <c r="N33" s="109" t="e">
        <f t="shared" si="0"/>
        <v>#VALUE!</v>
      </c>
      <c r="O33" s="14"/>
      <c r="P33" s="97" t="str">
        <f t="shared" si="16"/>
        <v/>
      </c>
      <c r="Q33" s="15"/>
      <c r="R33" s="92" t="str">
        <f t="shared" si="17"/>
        <v/>
      </c>
      <c r="S33" s="92" t="str">
        <f t="shared" si="1"/>
        <v/>
      </c>
      <c r="T33" s="88" t="str">
        <f t="shared" si="18"/>
        <v/>
      </c>
      <c r="U33" s="97" t="str">
        <f t="shared" si="2"/>
        <v/>
      </c>
      <c r="V33" s="2"/>
      <c r="W33" s="46"/>
      <c r="X33" s="156"/>
      <c r="Y33" s="156"/>
      <c r="Z33" s="157"/>
      <c r="AA33" s="156"/>
      <c r="AB33" s="47"/>
    </row>
    <row r="34" spans="2:28" ht="30.75" customHeight="1" x14ac:dyDescent="0.2">
      <c r="B34" s="68" t="s">
        <v>36</v>
      </c>
      <c r="C34" s="81"/>
      <c r="D34" s="81"/>
      <c r="E34" s="81"/>
      <c r="F34" s="87" t="str">
        <f t="shared" si="19"/>
        <v/>
      </c>
      <c r="G34" s="100">
        <f t="shared" si="14"/>
        <v>0</v>
      </c>
      <c r="H34" s="100" t="e">
        <f t="shared" si="5"/>
        <v>#VALUE!</v>
      </c>
      <c r="I34" s="88" t="str">
        <f t="shared" si="20"/>
        <v/>
      </c>
      <c r="J34" s="100">
        <f t="shared" si="15"/>
        <v>0</v>
      </c>
      <c r="K34" s="100" t="e">
        <f t="shared" si="8"/>
        <v>#VALUE!</v>
      </c>
      <c r="L34" s="88" t="str">
        <f t="shared" ref="L34:L46" si="22">IF(C34="","",R34+D34+S34+T34-U34)</f>
        <v/>
      </c>
      <c r="M34" s="109" t="e">
        <f t="shared" si="21"/>
        <v>#VALUE!</v>
      </c>
      <c r="N34" s="109" t="e">
        <f t="shared" si="0"/>
        <v>#VALUE!</v>
      </c>
      <c r="O34" s="14"/>
      <c r="P34" s="97" t="str">
        <f t="shared" si="16"/>
        <v/>
      </c>
      <c r="Q34" s="15"/>
      <c r="R34" s="92" t="str">
        <f t="shared" si="17"/>
        <v/>
      </c>
      <c r="S34" s="92" t="str">
        <f t="shared" si="1"/>
        <v/>
      </c>
      <c r="T34" s="88" t="str">
        <f t="shared" si="18"/>
        <v/>
      </c>
      <c r="U34" s="97" t="str">
        <f t="shared" si="2"/>
        <v/>
      </c>
      <c r="V34" s="2"/>
      <c r="W34" s="49"/>
      <c r="X34" s="156"/>
      <c r="Y34" s="156"/>
      <c r="Z34" s="77">
        <f>MAX(ROUNDDOWN($P$3*$D$3/365,0)-$D$4*$D$3,0)</f>
        <v>0</v>
      </c>
      <c r="AA34" s="77">
        <f>MAX($Z$34-$AA$18,0)</f>
        <v>0</v>
      </c>
      <c r="AB34" s="47"/>
    </row>
    <row r="35" spans="2:28" ht="30.75" customHeight="1" x14ac:dyDescent="0.2">
      <c r="B35" s="68" t="s">
        <v>37</v>
      </c>
      <c r="C35" s="81"/>
      <c r="D35" s="81"/>
      <c r="E35" s="81"/>
      <c r="F35" s="87" t="str">
        <f t="shared" si="19"/>
        <v/>
      </c>
      <c r="G35" s="100">
        <f t="shared" si="14"/>
        <v>0</v>
      </c>
      <c r="H35" s="100" t="e">
        <f t="shared" si="5"/>
        <v>#VALUE!</v>
      </c>
      <c r="I35" s="88" t="str">
        <f t="shared" si="20"/>
        <v/>
      </c>
      <c r="J35" s="100">
        <f t="shared" si="15"/>
        <v>0</v>
      </c>
      <c r="K35" s="100" t="e">
        <f t="shared" si="8"/>
        <v>#VALUE!</v>
      </c>
      <c r="L35" s="88" t="str">
        <f t="shared" si="22"/>
        <v/>
      </c>
      <c r="M35" s="109" t="e">
        <f t="shared" si="21"/>
        <v>#VALUE!</v>
      </c>
      <c r="N35" s="109" t="e">
        <f t="shared" si="0"/>
        <v>#VALUE!</v>
      </c>
      <c r="O35" s="14"/>
      <c r="P35" s="97" t="str">
        <f t="shared" si="16"/>
        <v/>
      </c>
      <c r="Q35" s="15"/>
      <c r="R35" s="92" t="str">
        <f t="shared" si="17"/>
        <v/>
      </c>
      <c r="S35" s="92" t="str">
        <f t="shared" si="1"/>
        <v/>
      </c>
      <c r="T35" s="88" t="str">
        <f t="shared" si="18"/>
        <v/>
      </c>
      <c r="U35" s="97" t="str">
        <f t="shared" si="2"/>
        <v/>
      </c>
      <c r="V35" s="2"/>
      <c r="W35" s="46"/>
      <c r="X35" s="156" t="s">
        <v>58</v>
      </c>
      <c r="Y35" s="156"/>
      <c r="Z35" s="157" t="s">
        <v>64</v>
      </c>
      <c r="AA35" s="156" t="s">
        <v>66</v>
      </c>
      <c r="AB35" s="47"/>
    </row>
    <row r="36" spans="2:28" ht="30.75" customHeight="1" x14ac:dyDescent="0.2">
      <c r="B36" s="68" t="s">
        <v>38</v>
      </c>
      <c r="C36" s="81"/>
      <c r="D36" s="81"/>
      <c r="E36" s="81"/>
      <c r="F36" s="87" t="str">
        <f t="shared" si="19"/>
        <v/>
      </c>
      <c r="G36" s="100">
        <f t="shared" si="14"/>
        <v>0</v>
      </c>
      <c r="H36" s="100" t="e">
        <f t="shared" si="5"/>
        <v>#VALUE!</v>
      </c>
      <c r="I36" s="88" t="str">
        <f t="shared" si="20"/>
        <v/>
      </c>
      <c r="J36" s="100">
        <f t="shared" si="15"/>
        <v>0</v>
      </c>
      <c r="K36" s="100" t="e">
        <f t="shared" si="8"/>
        <v>#VALUE!</v>
      </c>
      <c r="L36" s="88" t="str">
        <f t="shared" si="22"/>
        <v/>
      </c>
      <c r="M36" s="109" t="e">
        <f t="shared" si="21"/>
        <v>#VALUE!</v>
      </c>
      <c r="N36" s="109" t="e">
        <f t="shared" si="0"/>
        <v>#VALUE!</v>
      </c>
      <c r="O36" s="14"/>
      <c r="P36" s="97" t="str">
        <f t="shared" si="16"/>
        <v/>
      </c>
      <c r="Q36" s="15"/>
      <c r="R36" s="92" t="str">
        <f t="shared" si="17"/>
        <v/>
      </c>
      <c r="S36" s="92" t="str">
        <f t="shared" si="1"/>
        <v/>
      </c>
      <c r="T36" s="88" t="str">
        <f t="shared" si="18"/>
        <v/>
      </c>
      <c r="U36" s="97" t="str">
        <f t="shared" si="2"/>
        <v/>
      </c>
      <c r="V36" s="2"/>
      <c r="W36" s="49"/>
      <c r="X36" s="156"/>
      <c r="Y36" s="156"/>
      <c r="Z36" s="157"/>
      <c r="AA36" s="156"/>
      <c r="AB36" s="50"/>
    </row>
    <row r="37" spans="2:28" ht="30.75" customHeight="1" x14ac:dyDescent="0.2">
      <c r="B37" s="68" t="s">
        <v>39</v>
      </c>
      <c r="C37" s="81"/>
      <c r="D37" s="81"/>
      <c r="E37" s="81"/>
      <c r="F37" s="87" t="str">
        <f t="shared" si="19"/>
        <v/>
      </c>
      <c r="G37" s="100">
        <f t="shared" si="14"/>
        <v>0</v>
      </c>
      <c r="H37" s="100" t="e">
        <f t="shared" si="5"/>
        <v>#VALUE!</v>
      </c>
      <c r="I37" s="88" t="str">
        <f>IF(C37="","",MAX(ROUNDDOWN($P$3/365,0)-$D$4,0))</f>
        <v/>
      </c>
      <c r="J37" s="100">
        <f t="shared" si="15"/>
        <v>0</v>
      </c>
      <c r="K37" s="100" t="e">
        <f t="shared" si="8"/>
        <v>#VALUE!</v>
      </c>
      <c r="L37" s="88" t="str">
        <f t="shared" si="22"/>
        <v/>
      </c>
      <c r="M37" s="109" t="e">
        <f t="shared" si="21"/>
        <v>#VALUE!</v>
      </c>
      <c r="N37" s="109" t="e">
        <f t="shared" si="0"/>
        <v>#VALUE!</v>
      </c>
      <c r="O37" s="14"/>
      <c r="P37" s="97" t="str">
        <f t="shared" si="16"/>
        <v/>
      </c>
      <c r="Q37" s="15"/>
      <c r="R37" s="92" t="str">
        <f t="shared" si="17"/>
        <v/>
      </c>
      <c r="S37" s="92" t="str">
        <f t="shared" si="1"/>
        <v/>
      </c>
      <c r="T37" s="88" t="str">
        <f t="shared" si="18"/>
        <v/>
      </c>
      <c r="U37" s="97" t="str">
        <f t="shared" si="2"/>
        <v/>
      </c>
      <c r="V37" s="2"/>
      <c r="W37" s="46"/>
      <c r="X37" s="156"/>
      <c r="Y37" s="156"/>
      <c r="Z37" s="77">
        <f>M52-IF(AA4="○",INT(M52*25/100),0)-AA6</f>
        <v>0</v>
      </c>
      <c r="AA37" s="77">
        <f>MAX(Z37-AA20,0)</f>
        <v>0</v>
      </c>
      <c r="AB37" s="47"/>
    </row>
    <row r="38" spans="2:28" ht="30.75" customHeight="1" x14ac:dyDescent="0.2">
      <c r="B38" s="68" t="s">
        <v>40</v>
      </c>
      <c r="C38" s="81"/>
      <c r="D38" s="81"/>
      <c r="E38" s="81"/>
      <c r="F38" s="87" t="str">
        <f t="shared" si="19"/>
        <v/>
      </c>
      <c r="G38" s="100">
        <f t="shared" si="14"/>
        <v>0</v>
      </c>
      <c r="H38" s="100" t="e">
        <f t="shared" si="5"/>
        <v>#VALUE!</v>
      </c>
      <c r="I38" s="88" t="str">
        <f t="shared" si="20"/>
        <v/>
      </c>
      <c r="J38" s="100">
        <f t="shared" si="15"/>
        <v>0</v>
      </c>
      <c r="K38" s="100" t="e">
        <f t="shared" si="8"/>
        <v>#VALUE!</v>
      </c>
      <c r="L38" s="88" t="str">
        <f t="shared" si="22"/>
        <v/>
      </c>
      <c r="M38" s="109" t="e">
        <f t="shared" si="21"/>
        <v>#VALUE!</v>
      </c>
      <c r="N38" s="109" t="e">
        <f t="shared" si="0"/>
        <v>#VALUE!</v>
      </c>
      <c r="O38" s="14"/>
      <c r="P38" s="97" t="str">
        <f t="shared" si="16"/>
        <v/>
      </c>
      <c r="Q38" s="15"/>
      <c r="R38" s="92" t="str">
        <f t="shared" si="17"/>
        <v/>
      </c>
      <c r="S38" s="92" t="str">
        <f t="shared" si="1"/>
        <v/>
      </c>
      <c r="T38" s="88" t="str">
        <f t="shared" si="18"/>
        <v/>
      </c>
      <c r="U38" s="97" t="str">
        <f t="shared" si="2"/>
        <v/>
      </c>
      <c r="V38" s="2"/>
      <c r="W38" s="49"/>
      <c r="X38" s="154" t="s">
        <v>76</v>
      </c>
      <c r="Y38" s="154"/>
      <c r="Z38" s="154"/>
      <c r="AA38" s="155" t="str">
        <f>IF(AA20&lt;M52*50/100,"○","")</f>
        <v/>
      </c>
      <c r="AB38" s="47"/>
    </row>
    <row r="39" spans="2:28" ht="30.75" customHeight="1" x14ac:dyDescent="0.2">
      <c r="B39" s="68" t="s">
        <v>41</v>
      </c>
      <c r="C39" s="81"/>
      <c r="D39" s="81"/>
      <c r="E39" s="81"/>
      <c r="F39" s="87" t="str">
        <f t="shared" si="19"/>
        <v/>
      </c>
      <c r="G39" s="100">
        <f t="shared" si="14"/>
        <v>0</v>
      </c>
      <c r="H39" s="100" t="e">
        <f t="shared" si="5"/>
        <v>#VALUE!</v>
      </c>
      <c r="I39" s="88" t="str">
        <f t="shared" si="20"/>
        <v/>
      </c>
      <c r="J39" s="100">
        <f t="shared" si="15"/>
        <v>0</v>
      </c>
      <c r="K39" s="100" t="e">
        <f t="shared" si="8"/>
        <v>#VALUE!</v>
      </c>
      <c r="L39" s="88" t="str">
        <f t="shared" si="22"/>
        <v/>
      </c>
      <c r="M39" s="109" t="e">
        <f t="shared" si="21"/>
        <v>#VALUE!</v>
      </c>
      <c r="N39" s="109" t="e">
        <f t="shared" si="0"/>
        <v>#VALUE!</v>
      </c>
      <c r="O39" s="14"/>
      <c r="P39" s="97" t="str">
        <f t="shared" si="16"/>
        <v/>
      </c>
      <c r="Q39" s="15"/>
      <c r="R39" s="92" t="str">
        <f t="shared" si="17"/>
        <v/>
      </c>
      <c r="S39" s="92" t="str">
        <f t="shared" si="1"/>
        <v/>
      </c>
      <c r="T39" s="88" t="str">
        <f t="shared" si="18"/>
        <v/>
      </c>
      <c r="U39" s="97" t="str">
        <f t="shared" si="2"/>
        <v/>
      </c>
      <c r="V39" s="2"/>
      <c r="W39" s="46"/>
      <c r="X39" s="154"/>
      <c r="Y39" s="154"/>
      <c r="Z39" s="154"/>
      <c r="AA39" s="155"/>
      <c r="AB39" s="47"/>
    </row>
    <row r="40" spans="2:28" ht="30.75" customHeight="1" x14ac:dyDescent="0.2">
      <c r="B40" s="68" t="s">
        <v>42</v>
      </c>
      <c r="C40" s="81"/>
      <c r="D40" s="81"/>
      <c r="E40" s="81"/>
      <c r="F40" s="87" t="str">
        <f t="shared" si="19"/>
        <v/>
      </c>
      <c r="G40" s="100">
        <f t="shared" si="14"/>
        <v>0</v>
      </c>
      <c r="H40" s="100" t="e">
        <f t="shared" si="5"/>
        <v>#VALUE!</v>
      </c>
      <c r="I40" s="88" t="str">
        <f t="shared" si="20"/>
        <v/>
      </c>
      <c r="J40" s="100">
        <f t="shared" si="15"/>
        <v>0</v>
      </c>
      <c r="K40" s="100" t="e">
        <f t="shared" si="8"/>
        <v>#VALUE!</v>
      </c>
      <c r="L40" s="88" t="str">
        <f t="shared" si="22"/>
        <v/>
      </c>
      <c r="M40" s="109" t="e">
        <f t="shared" si="21"/>
        <v>#VALUE!</v>
      </c>
      <c r="N40" s="109" t="e">
        <f t="shared" si="0"/>
        <v>#VALUE!</v>
      </c>
      <c r="O40" s="14"/>
      <c r="P40" s="97" t="str">
        <f t="shared" si="16"/>
        <v/>
      </c>
      <c r="Q40" s="15"/>
      <c r="R40" s="92" t="str">
        <f t="shared" si="17"/>
        <v/>
      </c>
      <c r="S40" s="92" t="str">
        <f t="shared" si="1"/>
        <v/>
      </c>
      <c r="T40" s="88" t="str">
        <f t="shared" si="18"/>
        <v/>
      </c>
      <c r="U40" s="97" t="str">
        <f t="shared" si="2"/>
        <v/>
      </c>
      <c r="V40" s="2"/>
      <c r="W40" s="46"/>
      <c r="X40" s="8"/>
      <c r="Y40" s="8"/>
      <c r="Z40" s="8"/>
      <c r="AA40" s="8"/>
      <c r="AB40" s="47"/>
    </row>
    <row r="41" spans="2:28" ht="30.75" customHeight="1" x14ac:dyDescent="0.2">
      <c r="B41" s="68" t="s">
        <v>43</v>
      </c>
      <c r="C41" s="81"/>
      <c r="D41" s="81"/>
      <c r="E41" s="81"/>
      <c r="F41" s="87" t="str">
        <f t="shared" si="19"/>
        <v/>
      </c>
      <c r="G41" s="100">
        <f t="shared" si="14"/>
        <v>0</v>
      </c>
      <c r="H41" s="100" t="e">
        <f t="shared" si="5"/>
        <v>#VALUE!</v>
      </c>
      <c r="I41" s="88" t="str">
        <f t="shared" si="20"/>
        <v/>
      </c>
      <c r="J41" s="100">
        <f t="shared" si="15"/>
        <v>0</v>
      </c>
      <c r="K41" s="100" t="e">
        <f t="shared" si="8"/>
        <v>#VALUE!</v>
      </c>
      <c r="L41" s="88" t="str">
        <f t="shared" si="22"/>
        <v/>
      </c>
      <c r="M41" s="109" t="e">
        <f t="shared" si="21"/>
        <v>#VALUE!</v>
      </c>
      <c r="N41" s="109" t="e">
        <f t="shared" si="0"/>
        <v>#VALUE!</v>
      </c>
      <c r="O41" s="14"/>
      <c r="P41" s="97" t="str">
        <f t="shared" si="16"/>
        <v/>
      </c>
      <c r="Q41" s="15"/>
      <c r="R41" s="92" t="str">
        <f t="shared" si="17"/>
        <v/>
      </c>
      <c r="S41" s="92" t="str">
        <f t="shared" si="1"/>
        <v/>
      </c>
      <c r="T41" s="88" t="str">
        <f t="shared" si="18"/>
        <v/>
      </c>
      <c r="U41" s="97" t="str">
        <f t="shared" si="2"/>
        <v/>
      </c>
      <c r="V41" s="2"/>
      <c r="W41" s="46"/>
      <c r="X41" s="8"/>
      <c r="Y41" s="8"/>
      <c r="Z41" s="8"/>
      <c r="AA41" s="8"/>
      <c r="AB41" s="47"/>
    </row>
    <row r="42" spans="2:28" ht="30.75" customHeight="1" x14ac:dyDescent="0.2">
      <c r="B42" s="68" t="s">
        <v>44</v>
      </c>
      <c r="C42" s="81"/>
      <c r="D42" s="81"/>
      <c r="E42" s="81"/>
      <c r="F42" s="87" t="str">
        <f t="shared" si="19"/>
        <v/>
      </c>
      <c r="G42" s="100">
        <f t="shared" si="14"/>
        <v>0</v>
      </c>
      <c r="H42" s="100" t="e">
        <f t="shared" si="5"/>
        <v>#VALUE!</v>
      </c>
      <c r="I42" s="88" t="str">
        <f t="shared" si="20"/>
        <v/>
      </c>
      <c r="J42" s="100">
        <f t="shared" si="15"/>
        <v>0</v>
      </c>
      <c r="K42" s="100" t="e">
        <f t="shared" si="8"/>
        <v>#VALUE!</v>
      </c>
      <c r="L42" s="88" t="str">
        <f>IF(C42="","",R42+D42+S42+T42-U42)</f>
        <v/>
      </c>
      <c r="M42" s="109" t="e">
        <f t="shared" si="21"/>
        <v>#VALUE!</v>
      </c>
      <c r="N42" s="109" t="e">
        <f t="shared" si="0"/>
        <v>#VALUE!</v>
      </c>
      <c r="O42" s="14"/>
      <c r="P42" s="97" t="str">
        <f t="shared" si="16"/>
        <v/>
      </c>
      <c r="Q42" s="15"/>
      <c r="R42" s="92" t="str">
        <f t="shared" si="17"/>
        <v/>
      </c>
      <c r="S42" s="92" t="str">
        <f t="shared" si="1"/>
        <v/>
      </c>
      <c r="T42" s="88" t="str">
        <f t="shared" si="18"/>
        <v/>
      </c>
      <c r="U42" s="97" t="str">
        <f t="shared" si="2"/>
        <v/>
      </c>
      <c r="V42" s="2"/>
      <c r="W42" s="46"/>
      <c r="X42" s="8"/>
      <c r="Y42" s="8"/>
      <c r="Z42" s="8"/>
      <c r="AA42" s="8"/>
      <c r="AB42" s="47"/>
    </row>
    <row r="43" spans="2:28" ht="30.75" customHeight="1" thickBot="1" x14ac:dyDescent="0.25">
      <c r="B43" s="68" t="s">
        <v>45</v>
      </c>
      <c r="C43" s="81"/>
      <c r="D43" s="81"/>
      <c r="E43" s="81"/>
      <c r="F43" s="87" t="str">
        <f t="shared" si="19"/>
        <v/>
      </c>
      <c r="G43" s="100">
        <f t="shared" si="14"/>
        <v>0</v>
      </c>
      <c r="H43" s="100" t="e">
        <f t="shared" si="5"/>
        <v>#VALUE!</v>
      </c>
      <c r="I43" s="88" t="str">
        <f t="shared" si="20"/>
        <v/>
      </c>
      <c r="J43" s="100">
        <f t="shared" si="15"/>
        <v>0</v>
      </c>
      <c r="K43" s="100" t="e">
        <f t="shared" si="8"/>
        <v>#VALUE!</v>
      </c>
      <c r="L43" s="88" t="str">
        <f t="shared" si="22"/>
        <v/>
      </c>
      <c r="M43" s="109" t="e">
        <f>MAX(MIN(C43-G43-J43,R43+D43+S43+T43-U43),0)</f>
        <v>#VALUE!</v>
      </c>
      <c r="N43" s="109" t="e">
        <f t="shared" si="0"/>
        <v>#VALUE!</v>
      </c>
      <c r="O43" s="14"/>
      <c r="P43" s="97" t="str">
        <f t="shared" si="16"/>
        <v/>
      </c>
      <c r="Q43" s="15"/>
      <c r="R43" s="92" t="str">
        <f t="shared" si="17"/>
        <v/>
      </c>
      <c r="S43" s="92" t="str">
        <f t="shared" si="1"/>
        <v/>
      </c>
      <c r="T43" s="88" t="str">
        <f t="shared" si="18"/>
        <v/>
      </c>
      <c r="U43" s="97" t="str">
        <f t="shared" si="2"/>
        <v/>
      </c>
      <c r="V43" s="2"/>
      <c r="W43" s="79"/>
      <c r="X43" s="53"/>
      <c r="Y43" s="53"/>
      <c r="Z43" s="53"/>
      <c r="AA43" s="53"/>
      <c r="AB43" s="75"/>
    </row>
    <row r="44" spans="2:28" ht="30.75" customHeight="1" x14ac:dyDescent="0.2">
      <c r="B44" s="68" t="s">
        <v>46</v>
      </c>
      <c r="C44" s="81"/>
      <c r="D44" s="81"/>
      <c r="E44" s="81"/>
      <c r="F44" s="87" t="str">
        <f t="shared" si="19"/>
        <v/>
      </c>
      <c r="G44" s="100">
        <f t="shared" si="14"/>
        <v>0</v>
      </c>
      <c r="H44" s="100" t="e">
        <f t="shared" si="5"/>
        <v>#VALUE!</v>
      </c>
      <c r="I44" s="88" t="str">
        <f t="shared" si="20"/>
        <v/>
      </c>
      <c r="J44" s="100">
        <f t="shared" si="15"/>
        <v>0</v>
      </c>
      <c r="K44" s="100" t="e">
        <f>I44-J44</f>
        <v>#VALUE!</v>
      </c>
      <c r="L44" s="88" t="str">
        <f>IF(C44="","",R44+D44+S44+T44-U44)</f>
        <v/>
      </c>
      <c r="M44" s="109" t="e">
        <f t="shared" si="21"/>
        <v>#VALUE!</v>
      </c>
      <c r="N44" s="109" t="e">
        <f t="shared" si="0"/>
        <v>#VALUE!</v>
      </c>
      <c r="O44" s="14"/>
      <c r="P44" s="97" t="str">
        <f t="shared" si="16"/>
        <v/>
      </c>
      <c r="Q44" s="15"/>
      <c r="R44" s="92" t="str">
        <f t="shared" si="17"/>
        <v/>
      </c>
      <c r="S44" s="92" t="str">
        <f t="shared" si="1"/>
        <v/>
      </c>
      <c r="T44" s="88" t="str">
        <f t="shared" si="18"/>
        <v/>
      </c>
      <c r="U44" s="97" t="str">
        <f t="shared" si="2"/>
        <v/>
      </c>
      <c r="V44" s="2"/>
    </row>
    <row r="45" spans="2:28" ht="30.75" customHeight="1" x14ac:dyDescent="0.2">
      <c r="B45" s="68" t="s">
        <v>47</v>
      </c>
      <c r="C45" s="81"/>
      <c r="D45" s="81"/>
      <c r="E45" s="81"/>
      <c r="F45" s="87" t="str">
        <f t="shared" si="19"/>
        <v/>
      </c>
      <c r="G45" s="100">
        <f t="shared" si="14"/>
        <v>0</v>
      </c>
      <c r="H45" s="100" t="e">
        <f t="shared" si="5"/>
        <v>#VALUE!</v>
      </c>
      <c r="I45" s="88" t="str">
        <f t="shared" si="20"/>
        <v/>
      </c>
      <c r="J45" s="100">
        <f>MAX(MIN(C45-G45,ROUNDDOWN($P$3/365,0)-G45),0)</f>
        <v>0</v>
      </c>
      <c r="K45" s="100" t="e">
        <f t="shared" si="8"/>
        <v>#VALUE!</v>
      </c>
      <c r="L45" s="88" t="str">
        <f t="shared" si="22"/>
        <v/>
      </c>
      <c r="M45" s="109" t="e">
        <f t="shared" si="21"/>
        <v>#VALUE!</v>
      </c>
      <c r="N45" s="109" t="e">
        <f t="shared" si="0"/>
        <v>#VALUE!</v>
      </c>
      <c r="O45" s="14"/>
      <c r="P45" s="97" t="str">
        <f t="shared" si="16"/>
        <v/>
      </c>
      <c r="Q45" s="15"/>
      <c r="R45" s="92" t="str">
        <f t="shared" si="17"/>
        <v/>
      </c>
      <c r="S45" s="92" t="str">
        <f t="shared" si="1"/>
        <v/>
      </c>
      <c r="T45" s="88" t="str">
        <f t="shared" si="18"/>
        <v/>
      </c>
      <c r="U45" s="97" t="str">
        <f t="shared" si="2"/>
        <v/>
      </c>
      <c r="V45" s="2"/>
    </row>
    <row r="46" spans="2:28" ht="30.75" customHeight="1" thickBot="1" x14ac:dyDescent="0.25">
      <c r="B46" s="69" t="s">
        <v>48</v>
      </c>
      <c r="C46" s="84"/>
      <c r="D46" s="84"/>
      <c r="E46" s="84"/>
      <c r="F46" s="87" t="str">
        <f>IF(C46="","",$D$4)</f>
        <v/>
      </c>
      <c r="G46" s="100">
        <f t="shared" si="14"/>
        <v>0</v>
      </c>
      <c r="H46" s="100" t="e">
        <f t="shared" si="5"/>
        <v>#VALUE!</v>
      </c>
      <c r="I46" s="88" t="str">
        <f>IF(C46="","",MAX(ROUNDDOWN($P$3/365,0)-$D$4,0))</f>
        <v/>
      </c>
      <c r="J46" s="100">
        <f t="shared" si="15"/>
        <v>0</v>
      </c>
      <c r="K46" s="100" t="e">
        <f t="shared" si="8"/>
        <v>#VALUE!</v>
      </c>
      <c r="L46" s="88" t="str">
        <f t="shared" si="22"/>
        <v/>
      </c>
      <c r="M46" s="109" t="e">
        <f>MAX(MIN(C46-G46-J46,R46+D46+S46+T46-U46),0)</f>
        <v>#VALUE!</v>
      </c>
      <c r="N46" s="109" t="e">
        <f t="shared" si="0"/>
        <v>#VALUE!</v>
      </c>
      <c r="O46" s="14"/>
      <c r="P46" s="97" t="str">
        <f t="shared" si="16"/>
        <v/>
      </c>
      <c r="Q46" s="15"/>
      <c r="R46" s="92" t="str">
        <f t="shared" si="17"/>
        <v/>
      </c>
      <c r="S46" s="92" t="str">
        <f t="shared" si="1"/>
        <v/>
      </c>
      <c r="T46" s="88" t="str">
        <f t="shared" si="18"/>
        <v/>
      </c>
      <c r="U46" s="97" t="str">
        <f t="shared" si="2"/>
        <v/>
      </c>
      <c r="V46" s="2"/>
    </row>
    <row r="47" spans="2:28" ht="24" customHeight="1" thickBot="1" x14ac:dyDescent="0.25">
      <c r="B47" s="70"/>
      <c r="C47" s="16"/>
      <c r="D47" s="16"/>
      <c r="E47" s="16"/>
      <c r="F47" s="16"/>
      <c r="G47" s="7"/>
      <c r="H47" s="7"/>
      <c r="I47" s="7"/>
      <c r="J47" s="7"/>
      <c r="K47" s="7"/>
      <c r="L47" s="7"/>
      <c r="M47" s="7"/>
      <c r="N47" s="7"/>
      <c r="O47" s="16"/>
      <c r="P47" s="98"/>
      <c r="Q47" s="16"/>
      <c r="R47" s="7"/>
      <c r="S47" s="7"/>
      <c r="T47" s="7"/>
      <c r="U47" s="98"/>
      <c r="V47" s="2"/>
    </row>
    <row r="48" spans="2:28" ht="30" customHeight="1" thickBot="1" x14ac:dyDescent="0.25">
      <c r="B48" s="71" t="s">
        <v>8</v>
      </c>
      <c r="C48" s="95">
        <f>SUM(C16:C46)</f>
        <v>0</v>
      </c>
      <c r="D48" s="95">
        <f>SUM(D16:D46)</f>
        <v>0</v>
      </c>
      <c r="E48" s="95">
        <f>SUM(E16:E46)</f>
        <v>0</v>
      </c>
      <c r="F48" s="88">
        <f>SUM(F16:F46)</f>
        <v>0</v>
      </c>
      <c r="G48" s="109">
        <f>MIN(C48,$D$4*$D$3)</f>
        <v>0</v>
      </c>
      <c r="H48" s="110">
        <f>F48-G48</f>
        <v>0</v>
      </c>
      <c r="I48" s="103">
        <f>SUM(I16:I46)</f>
        <v>0</v>
      </c>
      <c r="J48" s="108">
        <f>MAX(MIN(C48-G48,INT(P3*D3/365)-G48),0)</f>
        <v>0</v>
      </c>
      <c r="K48" s="105">
        <f>I48-J48</f>
        <v>0</v>
      </c>
      <c r="L48" s="103">
        <f>SUM(L16:L46)</f>
        <v>0</v>
      </c>
      <c r="M48" s="104">
        <f>MAX(MIN(C48-G48-J48,M52-IF(AA4="○",INT(M52*25/100),0)-AA6))</f>
        <v>0</v>
      </c>
      <c r="N48" s="105">
        <f>L48-M48</f>
        <v>0</v>
      </c>
      <c r="O48" s="17"/>
      <c r="P48" s="99">
        <f>SUM(P16:P46)</f>
        <v>0</v>
      </c>
      <c r="Q48" s="16"/>
      <c r="R48" s="96">
        <f>SUM(R16:R46)</f>
        <v>0</v>
      </c>
      <c r="S48" s="95">
        <f>SUM(S16:S46)</f>
        <v>0</v>
      </c>
      <c r="T48" s="95">
        <f>SUM(T16:T46)</f>
        <v>0</v>
      </c>
      <c r="U48" s="99">
        <f>SUM(U16:U46)</f>
        <v>0</v>
      </c>
      <c r="V48" s="2"/>
    </row>
    <row r="49" spans="3:28" ht="29.25" customHeight="1" x14ac:dyDescent="0.2">
      <c r="D49" s="3"/>
      <c r="E49" s="3"/>
      <c r="F49" s="3"/>
      <c r="G49" s="102"/>
      <c r="H49" s="3"/>
      <c r="I49" s="3"/>
      <c r="J49" s="3"/>
      <c r="K49" s="3"/>
      <c r="L49" s="3"/>
      <c r="M49" s="3"/>
      <c r="N49" s="3"/>
      <c r="O49" s="18"/>
      <c r="P49" s="3"/>
      <c r="Q49" s="18"/>
      <c r="R49" s="3"/>
      <c r="S49" s="3"/>
      <c r="T49" s="3"/>
      <c r="U49" s="3"/>
      <c r="V49" s="2"/>
      <c r="W49" s="2"/>
    </row>
    <row r="50" spans="3:28" ht="22" customHeight="1" x14ac:dyDescent="0.2">
      <c r="C50" s="1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W50" s="2"/>
    </row>
    <row r="51" spans="3:28" ht="22" customHeight="1" x14ac:dyDescent="0.2">
      <c r="C51" s="13"/>
      <c r="D51" s="3"/>
      <c r="E51" s="3"/>
      <c r="F51" s="3"/>
      <c r="G51" s="3"/>
      <c r="H51" s="3"/>
      <c r="I51" s="3"/>
      <c r="J51" s="3"/>
      <c r="K51" s="3"/>
      <c r="L51" s="3"/>
      <c r="M51" s="127" t="s">
        <v>88</v>
      </c>
      <c r="N51" s="3"/>
      <c r="O51" s="3"/>
      <c r="P51" s="3"/>
      <c r="Q51" s="3"/>
      <c r="R51" s="3"/>
      <c r="S51" s="3"/>
      <c r="T51" s="3"/>
      <c r="U51" s="3"/>
      <c r="AB51" s="1"/>
    </row>
    <row r="52" spans="3:28" ht="22" customHeight="1" x14ac:dyDescent="0.2">
      <c r="M52" s="128">
        <f>INT(INT(P3*D3/365)*D5/100)+IFERROR(INT(INT(T8*D3/T9)*D5/100),0)+D48+INT(MAX(D48-E48-P4*D3,0)*D6/100)+T4+T6*D3</f>
        <v>0</v>
      </c>
      <c r="AB52" s="1"/>
    </row>
    <row r="53" spans="3:28" ht="22" customHeight="1" x14ac:dyDescent="0.2">
      <c r="AB53" s="1"/>
    </row>
    <row r="54" spans="3:28" ht="22" customHeight="1" x14ac:dyDescent="0.2">
      <c r="AB54" s="1"/>
    </row>
    <row r="55" spans="3:28" ht="22" customHeight="1" x14ac:dyDescent="0.2">
      <c r="AB55" s="1"/>
    </row>
    <row r="56" spans="3:28" ht="22" customHeight="1" x14ac:dyDescent="0.2">
      <c r="AB56" s="1"/>
    </row>
    <row r="57" spans="3:28" ht="22" customHeight="1" x14ac:dyDescent="0.2">
      <c r="AB57" s="1"/>
    </row>
    <row r="58" spans="3:28" ht="22" customHeight="1" x14ac:dyDescent="0.2">
      <c r="AB58" s="1"/>
    </row>
    <row r="59" spans="3:28" ht="22" customHeight="1" x14ac:dyDescent="0.2">
      <c r="AB59" s="1"/>
    </row>
  </sheetData>
  <sheetProtection algorithmName="SHA-512" hashValue="bht5ziGWe9eOnBW+AQT3kOH+itvSZBmKGJCIw6HoDSclk9wqmb61fjWwozGCfiQU0x7UYqF+HTWUZyYzXrcczQ==" saltValue="VH7XMMuwrQLERzyDxdBTJA==" spinCount="100000" sheet="1" objects="1" scenarios="1"/>
  <mergeCells count="43">
    <mergeCell ref="A1:AB1"/>
    <mergeCell ref="X12:AA13"/>
    <mergeCell ref="B13:B15"/>
    <mergeCell ref="C13:C15"/>
    <mergeCell ref="D13:D15"/>
    <mergeCell ref="F13:F15"/>
    <mergeCell ref="I13:I15"/>
    <mergeCell ref="L13:L15"/>
    <mergeCell ref="P13:P15"/>
    <mergeCell ref="R13:U13"/>
    <mergeCell ref="G14:G15"/>
    <mergeCell ref="H14:H15"/>
    <mergeCell ref="J14:J15"/>
    <mergeCell ref="K14:K15"/>
    <mergeCell ref="M14:M15"/>
    <mergeCell ref="N14:N15"/>
    <mergeCell ref="R14:R15"/>
    <mergeCell ref="S14:S15"/>
    <mergeCell ref="T14:T15"/>
    <mergeCell ref="AA29:AA30"/>
    <mergeCell ref="U14:U15"/>
    <mergeCell ref="X14:Z15"/>
    <mergeCell ref="AA14:AA15"/>
    <mergeCell ref="Y16:Z17"/>
    <mergeCell ref="AA16:AA17"/>
    <mergeCell ref="Y18:Z19"/>
    <mergeCell ref="AA18:AA19"/>
    <mergeCell ref="X38:Z39"/>
    <mergeCell ref="AA38:AA39"/>
    <mergeCell ref="E14:E15"/>
    <mergeCell ref="X32:Y34"/>
    <mergeCell ref="Z32:Z33"/>
    <mergeCell ref="AA32:AA33"/>
    <mergeCell ref="X35:Y37"/>
    <mergeCell ref="Z35:Z36"/>
    <mergeCell ref="AA35:AA36"/>
    <mergeCell ref="Y20:Z21"/>
    <mergeCell ref="AA20:AA21"/>
    <mergeCell ref="Y22:Z23"/>
    <mergeCell ref="AA22:AA23"/>
    <mergeCell ref="X27:AA28"/>
    <mergeCell ref="X29:Y31"/>
    <mergeCell ref="Z29:Z30"/>
  </mergeCells>
  <phoneticPr fontId="1"/>
  <dataValidations count="5">
    <dataValidation type="list" allowBlank="1" showInputMessage="1" showErrorMessage="1" sqref="AA4">
      <formula1>"○"</formula1>
    </dataValidation>
    <dataValidation type="whole" operator="greaterThanOrEqual" allowBlank="1" showInputMessage="1" showErrorMessage="1" sqref="C16:E46 P3:P4 AA6 T4 T6 T8 D4">
      <formula1>0</formula1>
    </dataValidation>
    <dataValidation type="whole" allowBlank="1" showInputMessage="1" showErrorMessage="1" sqref="T10 D3">
      <formula1>1</formula1>
      <formula2>31</formula2>
    </dataValidation>
    <dataValidation type="whole" allowBlank="1" showInputMessage="1" showErrorMessage="1" sqref="T9">
      <formula1>1</formula1>
      <formula2>366</formula2>
    </dataValidation>
    <dataValidation type="custom" allowBlank="1" showInputMessage="1" showErrorMessage="1" sqref="D5:D6">
      <formula1>AND(0&lt;=D5,D5&lt;=100,ROUNDDOWN(D5,1)=D5)</formula1>
    </dataValidation>
  </dataValidations>
  <pageMargins left="0.19685039370078741" right="0.23622047244094491" top="0.15748031496062992" bottom="0.19685039370078741" header="0.31496062992125984" footer="0.19685039370078741"/>
  <pageSetup paperSize="8" scale="58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AD59"/>
  <sheetViews>
    <sheetView view="pageBreakPreview" zoomScale="55" zoomScaleNormal="90" zoomScaleSheetLayoutView="55" workbookViewId="0">
      <selection sqref="A1:AB1"/>
    </sheetView>
  </sheetViews>
  <sheetFormatPr defaultColWidth="9" defaultRowHeight="22" customHeight="1" x14ac:dyDescent="0.2"/>
  <cols>
    <col min="1" max="1" width="1.5" style="1" customWidth="1"/>
    <col min="2" max="2" width="8" style="1" customWidth="1"/>
    <col min="3" max="3" width="23.5" style="1" customWidth="1"/>
    <col min="4" max="4" width="23.58203125" style="1" customWidth="1"/>
    <col min="5" max="5" width="23.58203125" style="1" hidden="1" customWidth="1"/>
    <col min="6" max="6" width="23.58203125" style="1" customWidth="1"/>
    <col min="7" max="8" width="17.58203125" style="1" hidden="1" customWidth="1"/>
    <col min="9" max="9" width="23.58203125" style="1" customWidth="1"/>
    <col min="10" max="10" width="17.33203125" style="1" hidden="1" customWidth="1"/>
    <col min="11" max="11" width="17.58203125" style="1" hidden="1" customWidth="1"/>
    <col min="12" max="12" width="23.58203125" style="1" customWidth="1"/>
    <col min="13" max="14" width="17.33203125" style="1" hidden="1" customWidth="1"/>
    <col min="15" max="15" width="3.58203125" style="4" customWidth="1"/>
    <col min="16" max="16" width="23.58203125" style="1" customWidth="1"/>
    <col min="17" max="17" width="3.58203125" style="4" customWidth="1"/>
    <col min="18" max="21" width="23.58203125" style="1" customWidth="1"/>
    <col min="22" max="22" width="1.33203125" style="1" customWidth="1"/>
    <col min="23" max="23" width="3.75" style="1" customWidth="1"/>
    <col min="24" max="24" width="1.58203125" style="1" customWidth="1"/>
    <col min="25" max="25" width="12.75" style="1" customWidth="1"/>
    <col min="26" max="26" width="25" style="1" customWidth="1"/>
    <col min="27" max="27" width="23.75" style="1" customWidth="1"/>
    <col min="28" max="28" width="3.75" style="9" customWidth="1"/>
    <col min="29" max="29" width="4.33203125" style="1" customWidth="1"/>
    <col min="30" max="16384" width="9" style="1"/>
  </cols>
  <sheetData>
    <row r="1" spans="1:29" s="30" customFormat="1" ht="75" customHeight="1" x14ac:dyDescent="0.2">
      <c r="A1" s="185" t="s">
        <v>108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29" s="30" customFormat="1" ht="33" thickBot="1" x14ac:dyDescent="0.25">
      <c r="A2" s="34"/>
      <c r="B2" s="61" t="s">
        <v>89</v>
      </c>
      <c r="C2" s="58"/>
      <c r="D2" s="36"/>
      <c r="E2" s="36"/>
      <c r="F2" s="36"/>
      <c r="G2" s="34"/>
      <c r="H2" s="34"/>
      <c r="I2" s="62" t="s">
        <v>90</v>
      </c>
      <c r="J2" s="37"/>
      <c r="K2" s="37"/>
      <c r="L2" s="37"/>
      <c r="M2" s="37"/>
      <c r="N2" s="37"/>
      <c r="O2" s="37"/>
      <c r="P2" s="37"/>
      <c r="Q2" s="37"/>
      <c r="R2" s="63" t="s">
        <v>93</v>
      </c>
      <c r="S2" s="39"/>
      <c r="T2" s="40"/>
      <c r="U2" s="40"/>
      <c r="V2" s="40"/>
      <c r="W2" s="40"/>
      <c r="X2" s="40"/>
      <c r="Y2" s="40"/>
      <c r="Z2" s="40"/>
      <c r="AA2" s="40"/>
      <c r="AB2" s="40"/>
      <c r="AC2" s="76"/>
    </row>
    <row r="3" spans="1:29" ht="20.5" thickBot="1" x14ac:dyDescent="0.25">
      <c r="B3" s="60" t="s">
        <v>14</v>
      </c>
      <c r="D3" s="112">
        <v>31</v>
      </c>
      <c r="E3" s="31"/>
      <c r="F3" s="31" t="s">
        <v>101</v>
      </c>
      <c r="I3" s="60" t="s">
        <v>91</v>
      </c>
      <c r="J3" s="106"/>
      <c r="K3" s="106"/>
      <c r="O3" s="113"/>
      <c r="P3" s="114">
        <v>237173519873</v>
      </c>
      <c r="Q3" s="32" t="s">
        <v>6</v>
      </c>
      <c r="R3" s="65" t="s">
        <v>54</v>
      </c>
      <c r="S3" s="35"/>
      <c r="T3" s="38"/>
      <c r="V3" s="67" t="s">
        <v>72</v>
      </c>
      <c r="W3" s="67"/>
      <c r="X3" s="67"/>
      <c r="Y3" s="67"/>
      <c r="Z3" s="67"/>
      <c r="AC3" s="8"/>
    </row>
    <row r="4" spans="1:29" ht="20.5" thickBot="1" x14ac:dyDescent="0.25">
      <c r="B4" s="60" t="s">
        <v>15</v>
      </c>
      <c r="D4" s="115">
        <v>84394854</v>
      </c>
      <c r="E4" s="31"/>
      <c r="F4" s="31" t="s">
        <v>102</v>
      </c>
      <c r="I4" s="59" t="s">
        <v>92</v>
      </c>
      <c r="J4" s="106"/>
      <c r="K4" s="106"/>
      <c r="O4" s="113"/>
      <c r="P4" s="116">
        <v>100000000</v>
      </c>
      <c r="Q4" s="32" t="s">
        <v>6</v>
      </c>
      <c r="R4" s="66" t="s">
        <v>94</v>
      </c>
      <c r="S4" s="41"/>
      <c r="T4" s="117"/>
      <c r="U4" s="33" t="s">
        <v>6</v>
      </c>
      <c r="V4" s="66" t="s">
        <v>99</v>
      </c>
      <c r="W4" s="67"/>
      <c r="X4" s="67"/>
      <c r="Y4" s="67"/>
      <c r="Z4" s="67"/>
      <c r="AA4" s="118"/>
      <c r="AB4" s="33"/>
      <c r="AC4" s="4"/>
    </row>
    <row r="5" spans="1:29" ht="20.5" thickBot="1" x14ac:dyDescent="0.25">
      <c r="B5" s="60" t="s">
        <v>16</v>
      </c>
      <c r="D5" s="119">
        <v>30.5</v>
      </c>
      <c r="E5" s="31"/>
      <c r="F5" s="31" t="s">
        <v>103</v>
      </c>
      <c r="I5" s="27"/>
      <c r="J5" s="26"/>
      <c r="K5" s="26"/>
      <c r="L5" s="28"/>
      <c r="M5" s="26"/>
      <c r="N5" s="26"/>
      <c r="O5" s="11"/>
      <c r="R5" s="66" t="s">
        <v>49</v>
      </c>
      <c r="S5" s="41"/>
      <c r="T5" s="23"/>
      <c r="V5" s="67" t="s">
        <v>73</v>
      </c>
      <c r="W5" s="9"/>
      <c r="X5" s="9"/>
      <c r="Y5" s="9"/>
      <c r="Z5" s="9"/>
      <c r="AA5" s="9"/>
      <c r="AC5" s="4"/>
    </row>
    <row r="6" spans="1:29" ht="20.5" thickBot="1" x14ac:dyDescent="0.25">
      <c r="B6" s="64" t="s">
        <v>17</v>
      </c>
      <c r="D6" s="120">
        <v>100</v>
      </c>
      <c r="E6" s="31"/>
      <c r="F6" s="31" t="s">
        <v>1</v>
      </c>
      <c r="G6" s="26"/>
      <c r="H6" s="26"/>
      <c r="I6" s="27"/>
      <c r="J6" s="26"/>
      <c r="K6" s="26"/>
      <c r="L6" s="28"/>
      <c r="M6" s="26"/>
      <c r="N6" s="26"/>
      <c r="O6" s="11"/>
      <c r="R6" s="66" t="s">
        <v>95</v>
      </c>
      <c r="S6" s="41"/>
      <c r="T6" s="117"/>
      <c r="U6" s="33" t="s">
        <v>6</v>
      </c>
      <c r="V6" s="66" t="s">
        <v>100</v>
      </c>
      <c r="W6" s="67"/>
      <c r="X6" s="67"/>
      <c r="Y6" s="67"/>
      <c r="Z6" s="67"/>
      <c r="AA6" s="117"/>
      <c r="AB6" s="33" t="s">
        <v>6</v>
      </c>
      <c r="AC6" s="4"/>
    </row>
    <row r="7" spans="1:29" s="9" customFormat="1" ht="29.25" customHeight="1" thickBot="1" x14ac:dyDescent="0.25">
      <c r="B7" s="64"/>
      <c r="D7" s="121"/>
      <c r="E7" s="121"/>
      <c r="F7" s="33"/>
      <c r="G7" s="26"/>
      <c r="H7" s="26"/>
      <c r="I7" s="27"/>
      <c r="J7" s="26"/>
      <c r="K7" s="26"/>
      <c r="L7" s="28"/>
      <c r="M7" s="26"/>
      <c r="N7" s="26"/>
      <c r="O7" s="11"/>
      <c r="Q7" s="4"/>
      <c r="R7" s="67" t="s">
        <v>50</v>
      </c>
      <c r="S7" s="67"/>
      <c r="T7" s="67"/>
      <c r="U7" s="67"/>
    </row>
    <row r="8" spans="1:29" s="9" customFormat="1" ht="29.25" customHeight="1" x14ac:dyDescent="0.2">
      <c r="B8" s="64"/>
      <c r="D8" s="121"/>
      <c r="E8" s="121"/>
      <c r="F8" s="33"/>
      <c r="G8" s="26"/>
      <c r="H8" s="26"/>
      <c r="I8" s="27"/>
      <c r="J8" s="26"/>
      <c r="K8" s="26"/>
      <c r="L8" s="28"/>
      <c r="M8" s="26"/>
      <c r="N8" s="26"/>
      <c r="O8" s="11"/>
      <c r="Q8" s="4"/>
      <c r="R8" s="66" t="s">
        <v>96</v>
      </c>
      <c r="S8" s="67"/>
      <c r="T8" s="122"/>
      <c r="U8" s="33" t="s">
        <v>6</v>
      </c>
    </row>
    <row r="9" spans="1:29" s="9" customFormat="1" ht="29.25" customHeight="1" thickBot="1" x14ac:dyDescent="0.25">
      <c r="B9" s="64"/>
      <c r="D9" s="121"/>
      <c r="E9" s="121"/>
      <c r="F9" s="33"/>
      <c r="G9" s="26"/>
      <c r="H9" s="26"/>
      <c r="I9" s="27"/>
      <c r="J9" s="26"/>
      <c r="K9" s="26"/>
      <c r="L9" s="28"/>
      <c r="M9" s="26"/>
      <c r="N9" s="26"/>
      <c r="O9" s="11"/>
      <c r="Q9" s="4"/>
      <c r="R9" s="66" t="s">
        <v>97</v>
      </c>
      <c r="S9" s="67"/>
      <c r="T9" s="123"/>
      <c r="U9" s="33" t="s">
        <v>12</v>
      </c>
    </row>
    <row r="10" spans="1:29" s="9" customFormat="1" ht="0.75" customHeight="1" x14ac:dyDescent="0.2">
      <c r="B10" s="64"/>
      <c r="D10" s="121"/>
      <c r="E10" s="121"/>
      <c r="F10" s="33"/>
      <c r="G10" s="26"/>
      <c r="H10" s="26"/>
      <c r="I10" s="27"/>
      <c r="J10" s="26"/>
      <c r="K10" s="26"/>
      <c r="L10" s="28"/>
      <c r="M10" s="26"/>
      <c r="N10" s="26"/>
      <c r="O10" s="11"/>
      <c r="Q10" s="4"/>
      <c r="R10" s="66"/>
      <c r="S10" s="67"/>
      <c r="T10" s="124"/>
      <c r="U10" s="33"/>
    </row>
    <row r="11" spans="1:29" s="9" customFormat="1" ht="29.25" customHeight="1" thickBot="1" x14ac:dyDescent="0.25">
      <c r="B11" s="64"/>
      <c r="D11" s="121"/>
      <c r="E11" s="121"/>
      <c r="F11" s="33"/>
      <c r="G11" s="26"/>
      <c r="H11" s="26"/>
      <c r="I11" s="27"/>
      <c r="J11" s="26"/>
      <c r="K11" s="26"/>
      <c r="L11" s="28"/>
      <c r="M11" s="26"/>
      <c r="N11" s="26"/>
      <c r="O11" s="11"/>
      <c r="Q11" s="4"/>
      <c r="V11" s="67"/>
      <c r="AC11" s="4"/>
    </row>
    <row r="12" spans="1:29" ht="24" customHeight="1" x14ac:dyDescent="0.2">
      <c r="C12" s="20"/>
      <c r="D12" s="22"/>
      <c r="E12" s="22"/>
      <c r="F12" s="21"/>
      <c r="G12" s="21"/>
      <c r="H12" s="21"/>
      <c r="I12" s="20"/>
      <c r="J12" s="19"/>
      <c r="K12" s="19"/>
      <c r="L12" s="21"/>
      <c r="M12" s="21"/>
      <c r="N12" s="21"/>
      <c r="O12" s="5"/>
      <c r="P12" s="20"/>
      <c r="Q12" s="5"/>
      <c r="U12" s="54" t="s">
        <v>7</v>
      </c>
      <c r="W12" s="44"/>
      <c r="X12" s="164" t="s">
        <v>56</v>
      </c>
      <c r="Y12" s="164"/>
      <c r="Z12" s="164"/>
      <c r="AA12" s="164"/>
      <c r="AB12" s="45"/>
      <c r="AC12" s="8"/>
    </row>
    <row r="13" spans="1:29" ht="29.25" customHeight="1" thickBot="1" x14ac:dyDescent="0.25">
      <c r="B13" s="186" t="s">
        <v>2</v>
      </c>
      <c r="C13" s="187" t="s">
        <v>71</v>
      </c>
      <c r="D13" s="190" t="s">
        <v>81</v>
      </c>
      <c r="E13" s="111" t="s">
        <v>83</v>
      </c>
      <c r="F13" s="190" t="s">
        <v>70</v>
      </c>
      <c r="G13" s="42"/>
      <c r="H13" s="43"/>
      <c r="I13" s="193" t="s">
        <v>69</v>
      </c>
      <c r="J13" s="42"/>
      <c r="K13" s="43"/>
      <c r="L13" s="196" t="s">
        <v>68</v>
      </c>
      <c r="M13" s="42"/>
      <c r="N13" s="43"/>
      <c r="O13" s="12"/>
      <c r="P13" s="196" t="s">
        <v>79</v>
      </c>
      <c r="Q13" s="6"/>
      <c r="R13" s="198" t="s">
        <v>78</v>
      </c>
      <c r="S13" s="199"/>
      <c r="T13" s="199"/>
      <c r="U13" s="200"/>
      <c r="W13" s="57"/>
      <c r="X13" s="165"/>
      <c r="Y13" s="165"/>
      <c r="Z13" s="165"/>
      <c r="AA13" s="165"/>
      <c r="AB13" s="47"/>
      <c r="AC13" s="8"/>
    </row>
    <row r="14" spans="1:29" ht="29.25" customHeight="1" x14ac:dyDescent="0.2">
      <c r="B14" s="186"/>
      <c r="C14" s="188"/>
      <c r="D14" s="191"/>
      <c r="E14" s="201" t="s">
        <v>87</v>
      </c>
      <c r="F14" s="191"/>
      <c r="G14" s="172" t="s">
        <v>3</v>
      </c>
      <c r="H14" s="172" t="s">
        <v>9</v>
      </c>
      <c r="I14" s="194"/>
      <c r="J14" s="172" t="s">
        <v>4</v>
      </c>
      <c r="K14" s="172" t="s">
        <v>9</v>
      </c>
      <c r="L14" s="197"/>
      <c r="M14" s="183" t="s">
        <v>5</v>
      </c>
      <c r="N14" s="172" t="s">
        <v>9</v>
      </c>
      <c r="O14" s="10"/>
      <c r="P14" s="196"/>
      <c r="Q14" s="29"/>
      <c r="R14" s="174" t="s">
        <v>51</v>
      </c>
      <c r="S14" s="176" t="s">
        <v>98</v>
      </c>
      <c r="T14" s="176" t="s">
        <v>55</v>
      </c>
      <c r="U14" s="176" t="s">
        <v>77</v>
      </c>
      <c r="W14" s="46"/>
      <c r="X14" s="179" t="s">
        <v>67</v>
      </c>
      <c r="Y14" s="180"/>
      <c r="Z14" s="180"/>
      <c r="AA14" s="170">
        <f>$C$48</f>
        <v>304954146079</v>
      </c>
      <c r="AB14" s="47"/>
    </row>
    <row r="15" spans="1:29" ht="30" customHeight="1" thickBot="1" x14ac:dyDescent="0.25">
      <c r="B15" s="186"/>
      <c r="C15" s="189"/>
      <c r="D15" s="192"/>
      <c r="E15" s="202"/>
      <c r="F15" s="192"/>
      <c r="G15" s="173"/>
      <c r="H15" s="173"/>
      <c r="I15" s="195"/>
      <c r="J15" s="173"/>
      <c r="K15" s="173"/>
      <c r="L15" s="197"/>
      <c r="M15" s="184"/>
      <c r="N15" s="173"/>
      <c r="O15" s="10"/>
      <c r="P15" s="196"/>
      <c r="Q15" s="29"/>
      <c r="R15" s="175"/>
      <c r="S15" s="177"/>
      <c r="T15" s="178"/>
      <c r="U15" s="178"/>
      <c r="W15" s="46"/>
      <c r="X15" s="181"/>
      <c r="Y15" s="182"/>
      <c r="Z15" s="182"/>
      <c r="AA15" s="171"/>
      <c r="AB15" s="47"/>
    </row>
    <row r="16" spans="1:29" ht="30.75" customHeight="1" thickBot="1" x14ac:dyDescent="0.25">
      <c r="B16" s="68" t="s">
        <v>19</v>
      </c>
      <c r="C16" s="125">
        <v>7934004712</v>
      </c>
      <c r="D16" s="125">
        <v>400000000</v>
      </c>
      <c r="E16" s="125">
        <v>0</v>
      </c>
      <c r="F16" s="87">
        <f>IF(C16="","",$D$4)</f>
        <v>84394854</v>
      </c>
      <c r="G16" s="100">
        <f>MIN(C16,$D$4)</f>
        <v>84394854</v>
      </c>
      <c r="H16" s="100">
        <f>F16-G16</f>
        <v>0</v>
      </c>
      <c r="I16" s="88">
        <f>IF(C16="","",MAX(ROUNDDOWN($P$3/365,0)-$D$4,0))</f>
        <v>565395611</v>
      </c>
      <c r="J16" s="100">
        <f>MAX(MIN(C16-G16,ROUNDDOWN($P$3/365,0)-G16),0)</f>
        <v>565395611</v>
      </c>
      <c r="K16" s="100">
        <f>I16-J16</f>
        <v>0</v>
      </c>
      <c r="L16" s="88">
        <f>IF(C16="","",$R16+$D16+$S16+$T16-$U16)</f>
        <v>898186091</v>
      </c>
      <c r="M16" s="101">
        <f>MAX(MIN(C16-G16-J16,R16+D16+S16+T16-U16),0)</f>
        <v>898186091</v>
      </c>
      <c r="N16" s="101">
        <f>L16-M16</f>
        <v>0</v>
      </c>
      <c r="O16" s="14"/>
      <c r="P16" s="97">
        <f>IF(C16="","",MAX(C16-(F16+I16+L16),0))</f>
        <v>6386028156</v>
      </c>
      <c r="Q16" s="15"/>
      <c r="R16" s="92">
        <f>IF(C16="","",ROUNDDOWN(ROUNDDOWN($P$3/365,0)*$D$5/100,0)+IFERROR(ROUNDDOWN(ROUNDDOWN(T$8/T$9,0)*$D$5/100,0),0))</f>
        <v>198186091</v>
      </c>
      <c r="S16" s="92">
        <f>IF(C16="","",ROUNDDOWN((MAX(D16-E16-$P$4,0)*$D$6/100),0))</f>
        <v>300000000</v>
      </c>
      <c r="T16" s="88">
        <f>IF(C16="","",ROUNDDOWN($T$4/$D$3,0)+$T$6)</f>
        <v>0</v>
      </c>
      <c r="U16" s="97">
        <f>IF(C16="","",IF($AA$4="○",ROUNDDOWN((R16+D16+S16+T16)*25/100,0)+ROUNDDOWN(AA$6/$D$3,0),ROUNDDOWN(AA$6/$D$3,0)))</f>
        <v>0</v>
      </c>
      <c r="V16" s="2"/>
      <c r="W16" s="46"/>
      <c r="X16" s="72"/>
      <c r="Y16" s="166" t="s">
        <v>74</v>
      </c>
      <c r="Z16" s="167"/>
      <c r="AA16" s="170">
        <f>$G$48</f>
        <v>2616240474</v>
      </c>
      <c r="AB16" s="47"/>
    </row>
    <row r="17" spans="2:30" ht="30.75" customHeight="1" thickBot="1" x14ac:dyDescent="0.25">
      <c r="B17" s="68" t="s">
        <v>20</v>
      </c>
      <c r="C17" s="115">
        <v>9934004712</v>
      </c>
      <c r="D17" s="115">
        <v>400000000</v>
      </c>
      <c r="E17" s="125">
        <v>0</v>
      </c>
      <c r="F17" s="87">
        <f>IF(C17="","",$D$4)</f>
        <v>84394854</v>
      </c>
      <c r="G17" s="100">
        <f>MIN(C17,$D$4)</f>
        <v>84394854</v>
      </c>
      <c r="H17" s="100">
        <f>F17-G17</f>
        <v>0</v>
      </c>
      <c r="I17" s="88">
        <f>IF(C17="","",MAX(ROUNDDOWN($P$3/365,0)-$D$4,0))</f>
        <v>565395611</v>
      </c>
      <c r="J17" s="100">
        <f>MAX(MIN(C17-G17,ROUNDDOWN($P$3/365,0)-G17),0)</f>
        <v>565395611</v>
      </c>
      <c r="K17" s="100">
        <f>I17-J17</f>
        <v>0</v>
      </c>
      <c r="L17" s="88">
        <f>IF(C17="","",R17+D17+S17+T17-U17)</f>
        <v>898186091</v>
      </c>
      <c r="M17" s="101">
        <f>MAX(MIN(C17-G17-J17,R17+D17+S17+T17-U17),0)</f>
        <v>898186091</v>
      </c>
      <c r="N17" s="101">
        <f t="shared" ref="N17:N46" si="0">L17-M17</f>
        <v>0</v>
      </c>
      <c r="O17" s="14"/>
      <c r="P17" s="97">
        <f>IF(C17="","",MAX(C17-(F17+I17+L17),0))</f>
        <v>8386028156</v>
      </c>
      <c r="Q17" s="15"/>
      <c r="R17" s="92">
        <f>IF(C17="","",ROUNDDOWN(ROUNDDOWN($P$3/365,0)*$D$5/100,0)+IFERROR(ROUNDDOWN(ROUNDDOWN(T$8/T$9,0)*$D$5/100,0),0))</f>
        <v>198186091</v>
      </c>
      <c r="S17" s="92">
        <f t="shared" ref="S17:S46" si="1">IF(C17="","",ROUNDDOWN((MAX(D17-E17-$P$4,0)*$D$6/100),0))</f>
        <v>300000000</v>
      </c>
      <c r="T17" s="88">
        <f>IF(C17="","",ROUNDDOWN($T$4/$D$3,0)+$T$6)</f>
        <v>0</v>
      </c>
      <c r="U17" s="97">
        <f t="shared" ref="U17:U46" si="2">IF(C17="","",IF($AA$4="○",ROUNDDOWN((R17+D17+S17+T17)*25/100,0)+ROUNDDOWN(AA$6/$D$3,0),ROUNDDOWN(AA$6/$D$3,0)))</f>
        <v>0</v>
      </c>
      <c r="V17" s="2"/>
      <c r="W17" s="46"/>
      <c r="X17" s="72"/>
      <c r="Y17" s="168"/>
      <c r="Z17" s="169"/>
      <c r="AA17" s="171"/>
      <c r="AB17" s="47"/>
    </row>
    <row r="18" spans="2:30" ht="30.75" customHeight="1" thickBot="1" x14ac:dyDescent="0.25">
      <c r="B18" s="68" t="s">
        <v>21</v>
      </c>
      <c r="C18" s="115">
        <v>9934004712</v>
      </c>
      <c r="D18" s="115">
        <v>400000000</v>
      </c>
      <c r="E18" s="125">
        <v>0</v>
      </c>
      <c r="F18" s="87">
        <f t="shared" ref="F18:F27" si="3">IF(C18="","",$D$4)</f>
        <v>84394854</v>
      </c>
      <c r="G18" s="100">
        <f t="shared" ref="G18:G28" si="4">MIN(C18,$D$4)</f>
        <v>84394854</v>
      </c>
      <c r="H18" s="100">
        <f t="shared" ref="H18:H46" si="5">F18-G18</f>
        <v>0</v>
      </c>
      <c r="I18" s="88">
        <f t="shared" ref="I18:I28" si="6">IF(C18="","",MAX(ROUNDDOWN($P$3/365,0)-$D$4,0))</f>
        <v>565395611</v>
      </c>
      <c r="J18" s="100">
        <f t="shared" ref="J18:J28" si="7">MAX(MIN(C18-G18,ROUNDDOWN($P$3/365,0)-G18),0)</f>
        <v>565395611</v>
      </c>
      <c r="K18" s="100">
        <f t="shared" ref="K18:K46" si="8">I18-J18</f>
        <v>0</v>
      </c>
      <c r="L18" s="88">
        <f t="shared" ref="L18:L28" si="9">IF(C18="","",R18+D18+S18+T18-U18)</f>
        <v>898186091</v>
      </c>
      <c r="M18" s="101">
        <f>MAX(MIN(C18-G18-J18,R18+D18+S18+T18-U18),0)</f>
        <v>898186091</v>
      </c>
      <c r="N18" s="101">
        <f t="shared" si="0"/>
        <v>0</v>
      </c>
      <c r="O18" s="14"/>
      <c r="P18" s="97">
        <f t="shared" ref="P18:P28" si="10">IF(C18="","",MAX(C18-(F18+I18+L18),0))</f>
        <v>8386028156</v>
      </c>
      <c r="Q18" s="15"/>
      <c r="R18" s="92">
        <f t="shared" ref="R18:R28" si="11">IF(C18="","",ROUNDDOWN(ROUNDDOWN($P$3/365,0)*$D$5/100,0)+IFERROR(ROUNDDOWN(ROUNDDOWN(T$8/T$9,0)*$D$5/100,0),0))</f>
        <v>198186091</v>
      </c>
      <c r="S18" s="92">
        <f t="shared" si="1"/>
        <v>300000000</v>
      </c>
      <c r="T18" s="88">
        <f t="shared" ref="T18:T28" si="12">IF(C18="","",ROUNDDOWN($T$4/$D$3,0)+$T$6)</f>
        <v>0</v>
      </c>
      <c r="U18" s="97">
        <f t="shared" si="2"/>
        <v>0</v>
      </c>
      <c r="V18" s="2"/>
      <c r="W18" s="46"/>
      <c r="X18" s="72"/>
      <c r="Y18" s="166" t="s">
        <v>59</v>
      </c>
      <c r="Z18" s="167"/>
      <c r="AA18" s="170">
        <f>$J$48</f>
        <v>17527263953</v>
      </c>
      <c r="AB18" s="47"/>
    </row>
    <row r="19" spans="2:30" ht="30.75" customHeight="1" thickBot="1" x14ac:dyDescent="0.25">
      <c r="B19" s="68" t="s">
        <v>22</v>
      </c>
      <c r="C19" s="115">
        <v>9934004712</v>
      </c>
      <c r="D19" s="115">
        <v>400000000</v>
      </c>
      <c r="E19" s="125">
        <v>0</v>
      </c>
      <c r="F19" s="87">
        <f t="shared" si="3"/>
        <v>84394854</v>
      </c>
      <c r="G19" s="100">
        <f t="shared" si="4"/>
        <v>84394854</v>
      </c>
      <c r="H19" s="100">
        <f t="shared" si="5"/>
        <v>0</v>
      </c>
      <c r="I19" s="88">
        <f t="shared" si="6"/>
        <v>565395611</v>
      </c>
      <c r="J19" s="100">
        <f t="shared" si="7"/>
        <v>565395611</v>
      </c>
      <c r="K19" s="100">
        <f t="shared" si="8"/>
        <v>0</v>
      </c>
      <c r="L19" s="88">
        <f t="shared" si="9"/>
        <v>898186091</v>
      </c>
      <c r="M19" s="101">
        <f>MAX(MIN(C19-G19-J19,R19+D19+S19+T19-U19),0)</f>
        <v>898186091</v>
      </c>
      <c r="N19" s="101">
        <f t="shared" si="0"/>
        <v>0</v>
      </c>
      <c r="O19" s="14"/>
      <c r="P19" s="97">
        <f t="shared" si="10"/>
        <v>8386028156</v>
      </c>
      <c r="Q19" s="15"/>
      <c r="R19" s="92">
        <f t="shared" si="11"/>
        <v>198186091</v>
      </c>
      <c r="S19" s="92">
        <f t="shared" si="1"/>
        <v>300000000</v>
      </c>
      <c r="T19" s="88">
        <f>IF(C19="","",ROUNDDOWN($T$4/$D$3,0)+$T$6)</f>
        <v>0</v>
      </c>
      <c r="U19" s="97">
        <f t="shared" si="2"/>
        <v>0</v>
      </c>
      <c r="V19" s="2"/>
      <c r="W19" s="46"/>
      <c r="X19" s="72"/>
      <c r="Y19" s="168"/>
      <c r="Z19" s="169"/>
      <c r="AA19" s="171"/>
      <c r="AB19" s="47"/>
      <c r="AD19" s="25"/>
    </row>
    <row r="20" spans="2:30" ht="30.75" customHeight="1" thickBot="1" x14ac:dyDescent="0.25">
      <c r="B20" s="68" t="s">
        <v>23</v>
      </c>
      <c r="C20" s="115">
        <v>9934004712</v>
      </c>
      <c r="D20" s="115">
        <v>400000000</v>
      </c>
      <c r="E20" s="125">
        <v>0</v>
      </c>
      <c r="F20" s="87">
        <f t="shared" si="3"/>
        <v>84394854</v>
      </c>
      <c r="G20" s="100">
        <f>MIN(C20,$D$4)</f>
        <v>84394854</v>
      </c>
      <c r="H20" s="100">
        <f t="shared" si="5"/>
        <v>0</v>
      </c>
      <c r="I20" s="88">
        <f t="shared" si="6"/>
        <v>565395611</v>
      </c>
      <c r="J20" s="100">
        <f>MAX(MIN(C20-G20,ROUNDDOWN($P$3/365,0)-G20),0)</f>
        <v>565395611</v>
      </c>
      <c r="K20" s="100">
        <f t="shared" si="8"/>
        <v>0</v>
      </c>
      <c r="L20" s="88">
        <f t="shared" si="9"/>
        <v>898186091</v>
      </c>
      <c r="M20" s="101">
        <f t="shared" ref="M20:M28" si="13">MAX(MIN(C20-G20-J20,R20+D20+S20+T20-U20),0)</f>
        <v>898186091</v>
      </c>
      <c r="N20" s="101">
        <f t="shared" si="0"/>
        <v>0</v>
      </c>
      <c r="O20" s="14"/>
      <c r="P20" s="97">
        <f t="shared" si="10"/>
        <v>8386028156</v>
      </c>
      <c r="Q20" s="15"/>
      <c r="R20" s="92">
        <f t="shared" si="11"/>
        <v>198186091</v>
      </c>
      <c r="S20" s="92">
        <f t="shared" si="1"/>
        <v>300000000</v>
      </c>
      <c r="T20" s="88">
        <f t="shared" si="12"/>
        <v>0</v>
      </c>
      <c r="U20" s="97">
        <f t="shared" si="2"/>
        <v>0</v>
      </c>
      <c r="V20" s="2"/>
      <c r="W20" s="46"/>
      <c r="X20" s="72"/>
      <c r="Y20" s="166" t="s">
        <v>60</v>
      </c>
      <c r="Z20" s="167"/>
      <c r="AA20" s="170">
        <f>$M$48</f>
        <v>40243768850</v>
      </c>
      <c r="AB20" s="48"/>
    </row>
    <row r="21" spans="2:30" ht="30.75" customHeight="1" thickBot="1" x14ac:dyDescent="0.25">
      <c r="B21" s="68" t="s">
        <v>24</v>
      </c>
      <c r="C21" s="115">
        <v>9454004712</v>
      </c>
      <c r="D21" s="115">
        <v>400000000</v>
      </c>
      <c r="E21" s="125">
        <v>0</v>
      </c>
      <c r="F21" s="87">
        <f t="shared" si="3"/>
        <v>84394854</v>
      </c>
      <c r="G21" s="100">
        <f t="shared" si="4"/>
        <v>84394854</v>
      </c>
      <c r="H21" s="100">
        <f t="shared" si="5"/>
        <v>0</v>
      </c>
      <c r="I21" s="88">
        <f t="shared" si="6"/>
        <v>565395611</v>
      </c>
      <c r="J21" s="100">
        <f t="shared" si="7"/>
        <v>565395611</v>
      </c>
      <c r="K21" s="100">
        <f t="shared" si="8"/>
        <v>0</v>
      </c>
      <c r="L21" s="88">
        <f t="shared" si="9"/>
        <v>898186091</v>
      </c>
      <c r="M21" s="101">
        <f t="shared" si="13"/>
        <v>898186091</v>
      </c>
      <c r="N21" s="101">
        <f t="shared" si="0"/>
        <v>0</v>
      </c>
      <c r="O21" s="14"/>
      <c r="P21" s="97">
        <f t="shared" si="10"/>
        <v>7906028156</v>
      </c>
      <c r="Q21" s="15"/>
      <c r="R21" s="92">
        <f t="shared" si="11"/>
        <v>198186091</v>
      </c>
      <c r="S21" s="92">
        <f t="shared" si="1"/>
        <v>300000000</v>
      </c>
      <c r="T21" s="88">
        <f t="shared" si="12"/>
        <v>0</v>
      </c>
      <c r="U21" s="97">
        <f t="shared" si="2"/>
        <v>0</v>
      </c>
      <c r="V21" s="2"/>
      <c r="W21" s="46"/>
      <c r="X21" s="72"/>
      <c r="Y21" s="168"/>
      <c r="Z21" s="169"/>
      <c r="AA21" s="171"/>
      <c r="AB21" s="48"/>
    </row>
    <row r="22" spans="2:30" ht="30.75" customHeight="1" thickBot="1" x14ac:dyDescent="0.25">
      <c r="B22" s="68" t="s">
        <v>25</v>
      </c>
      <c r="C22" s="115">
        <v>9454004712</v>
      </c>
      <c r="D22" s="115">
        <v>400000000</v>
      </c>
      <c r="E22" s="125">
        <v>0</v>
      </c>
      <c r="F22" s="87">
        <f t="shared" si="3"/>
        <v>84394854</v>
      </c>
      <c r="G22" s="100">
        <f t="shared" si="4"/>
        <v>84394854</v>
      </c>
      <c r="H22" s="100">
        <f t="shared" si="5"/>
        <v>0</v>
      </c>
      <c r="I22" s="88">
        <f t="shared" si="6"/>
        <v>565395611</v>
      </c>
      <c r="J22" s="100">
        <f t="shared" si="7"/>
        <v>565395611</v>
      </c>
      <c r="K22" s="100">
        <f t="shared" si="8"/>
        <v>0</v>
      </c>
      <c r="L22" s="88">
        <f t="shared" si="9"/>
        <v>898186091</v>
      </c>
      <c r="M22" s="101">
        <f t="shared" si="13"/>
        <v>898186091</v>
      </c>
      <c r="N22" s="101">
        <f t="shared" si="0"/>
        <v>0</v>
      </c>
      <c r="O22" s="14"/>
      <c r="P22" s="97">
        <f t="shared" si="10"/>
        <v>7906028156</v>
      </c>
      <c r="Q22" s="15"/>
      <c r="R22" s="92">
        <f t="shared" si="11"/>
        <v>198186091</v>
      </c>
      <c r="S22" s="92">
        <f t="shared" si="1"/>
        <v>300000000</v>
      </c>
      <c r="T22" s="88">
        <f t="shared" si="12"/>
        <v>0</v>
      </c>
      <c r="U22" s="97">
        <f t="shared" si="2"/>
        <v>0</v>
      </c>
      <c r="V22" s="2"/>
      <c r="W22" s="46"/>
      <c r="X22" s="73"/>
      <c r="Y22" s="158" t="s">
        <v>57</v>
      </c>
      <c r="Z22" s="159"/>
      <c r="AA22" s="162">
        <f>MAX($C$48-$AA$16-$AA$18-$AA$20,0)</f>
        <v>244566872802</v>
      </c>
      <c r="AB22" s="48"/>
    </row>
    <row r="23" spans="2:30" ht="30.75" customHeight="1" thickBot="1" x14ac:dyDescent="0.25">
      <c r="B23" s="68" t="s">
        <v>26</v>
      </c>
      <c r="C23" s="115">
        <v>9454004712</v>
      </c>
      <c r="D23" s="115">
        <v>400000000</v>
      </c>
      <c r="E23" s="125">
        <v>0</v>
      </c>
      <c r="F23" s="87">
        <f t="shared" si="3"/>
        <v>84394854</v>
      </c>
      <c r="G23" s="100">
        <f t="shared" si="4"/>
        <v>84394854</v>
      </c>
      <c r="H23" s="100">
        <f t="shared" si="5"/>
        <v>0</v>
      </c>
      <c r="I23" s="88">
        <f t="shared" si="6"/>
        <v>565395611</v>
      </c>
      <c r="J23" s="100">
        <f t="shared" si="7"/>
        <v>565395611</v>
      </c>
      <c r="K23" s="100">
        <f t="shared" si="8"/>
        <v>0</v>
      </c>
      <c r="L23" s="88">
        <f t="shared" si="9"/>
        <v>898186091</v>
      </c>
      <c r="M23" s="101">
        <f t="shared" si="13"/>
        <v>898186091</v>
      </c>
      <c r="N23" s="101">
        <f t="shared" si="0"/>
        <v>0</v>
      </c>
      <c r="O23" s="14"/>
      <c r="P23" s="97">
        <f t="shared" si="10"/>
        <v>7906028156</v>
      </c>
      <c r="Q23" s="15"/>
      <c r="R23" s="92">
        <f t="shared" si="11"/>
        <v>198186091</v>
      </c>
      <c r="S23" s="92">
        <f t="shared" si="1"/>
        <v>300000000</v>
      </c>
      <c r="T23" s="88">
        <f t="shared" si="12"/>
        <v>0</v>
      </c>
      <c r="U23" s="97">
        <f t="shared" si="2"/>
        <v>0</v>
      </c>
      <c r="V23" s="2"/>
      <c r="W23" s="49"/>
      <c r="X23" s="74"/>
      <c r="Y23" s="160"/>
      <c r="Z23" s="161"/>
      <c r="AA23" s="163"/>
      <c r="AB23" s="50"/>
    </row>
    <row r="24" spans="2:30" ht="30.75" customHeight="1" thickBot="1" x14ac:dyDescent="0.25">
      <c r="B24" s="68" t="s">
        <v>27</v>
      </c>
      <c r="C24" s="115">
        <v>9454004712</v>
      </c>
      <c r="D24" s="115">
        <v>400000000</v>
      </c>
      <c r="E24" s="125">
        <v>0</v>
      </c>
      <c r="F24" s="87">
        <f t="shared" si="3"/>
        <v>84394854</v>
      </c>
      <c r="G24" s="100">
        <f t="shared" si="4"/>
        <v>84394854</v>
      </c>
      <c r="H24" s="100">
        <f t="shared" si="5"/>
        <v>0</v>
      </c>
      <c r="I24" s="88">
        <f t="shared" si="6"/>
        <v>565395611</v>
      </c>
      <c r="J24" s="100">
        <f t="shared" si="7"/>
        <v>565395611</v>
      </c>
      <c r="K24" s="100">
        <f t="shared" si="8"/>
        <v>0</v>
      </c>
      <c r="L24" s="88">
        <f t="shared" si="9"/>
        <v>898186091</v>
      </c>
      <c r="M24" s="101">
        <f t="shared" si="13"/>
        <v>898186091</v>
      </c>
      <c r="N24" s="101">
        <f t="shared" si="0"/>
        <v>0</v>
      </c>
      <c r="O24" s="14"/>
      <c r="P24" s="97">
        <f t="shared" si="10"/>
        <v>7906028156</v>
      </c>
      <c r="Q24" s="15"/>
      <c r="R24" s="92">
        <f t="shared" si="11"/>
        <v>198186091</v>
      </c>
      <c r="S24" s="92">
        <f t="shared" si="1"/>
        <v>300000000</v>
      </c>
      <c r="T24" s="88">
        <f t="shared" si="12"/>
        <v>0</v>
      </c>
      <c r="U24" s="97">
        <f t="shared" si="2"/>
        <v>0</v>
      </c>
      <c r="V24" s="2"/>
      <c r="W24" s="52"/>
      <c r="X24" s="53"/>
      <c r="Y24" s="53"/>
      <c r="Z24" s="53"/>
      <c r="AA24" s="53"/>
      <c r="AB24" s="78"/>
    </row>
    <row r="25" spans="2:30" ht="30.75" customHeight="1" thickBot="1" x14ac:dyDescent="0.25">
      <c r="B25" s="68" t="s">
        <v>28</v>
      </c>
      <c r="C25" s="115">
        <v>9454004712</v>
      </c>
      <c r="D25" s="115">
        <v>400000000</v>
      </c>
      <c r="E25" s="125">
        <v>0</v>
      </c>
      <c r="F25" s="87">
        <f t="shared" si="3"/>
        <v>84394854</v>
      </c>
      <c r="G25" s="100">
        <f t="shared" si="4"/>
        <v>84394854</v>
      </c>
      <c r="H25" s="100">
        <f t="shared" si="5"/>
        <v>0</v>
      </c>
      <c r="I25" s="88">
        <f t="shared" si="6"/>
        <v>565395611</v>
      </c>
      <c r="J25" s="100">
        <f t="shared" si="7"/>
        <v>565395611</v>
      </c>
      <c r="K25" s="100">
        <f t="shared" si="8"/>
        <v>0</v>
      </c>
      <c r="L25" s="88">
        <f>IF(C25="","",R25+D25+S25+T25-U25)</f>
        <v>898186091</v>
      </c>
      <c r="M25" s="101">
        <f t="shared" si="13"/>
        <v>898186091</v>
      </c>
      <c r="N25" s="101">
        <f t="shared" si="0"/>
        <v>0</v>
      </c>
      <c r="O25" s="14"/>
      <c r="P25" s="97">
        <f t="shared" si="10"/>
        <v>7906028156</v>
      </c>
      <c r="Q25" s="15"/>
      <c r="R25" s="92">
        <f t="shared" si="11"/>
        <v>198186091</v>
      </c>
      <c r="S25" s="92">
        <f t="shared" si="1"/>
        <v>300000000</v>
      </c>
      <c r="T25" s="88">
        <f>IF(C25="","",ROUNDDOWN($T$4/$D$3,0)+$T$6)</f>
        <v>0</v>
      </c>
      <c r="U25" s="97">
        <f>IF(C25="","",IF($AA$4="○",ROUNDDOWN((R25+D25+S25+T25)*25/100,0)+ROUNDDOWN(AA$6/$D$3,0),ROUNDDOWN(AA$6/$D$3,0)))</f>
        <v>0</v>
      </c>
      <c r="V25" s="2"/>
    </row>
    <row r="26" spans="2:30" ht="30.75" customHeight="1" thickBot="1" x14ac:dyDescent="0.25">
      <c r="B26" s="68" t="s">
        <v>29</v>
      </c>
      <c r="C26" s="115">
        <v>9454004712</v>
      </c>
      <c r="D26" s="115">
        <v>600000000</v>
      </c>
      <c r="E26" s="125">
        <v>0</v>
      </c>
      <c r="F26" s="87">
        <f t="shared" si="3"/>
        <v>84394854</v>
      </c>
      <c r="G26" s="100">
        <f t="shared" si="4"/>
        <v>84394854</v>
      </c>
      <c r="H26" s="100">
        <f t="shared" si="5"/>
        <v>0</v>
      </c>
      <c r="I26" s="88">
        <f t="shared" si="6"/>
        <v>565395611</v>
      </c>
      <c r="J26" s="100">
        <f t="shared" si="7"/>
        <v>565395611</v>
      </c>
      <c r="K26" s="100">
        <f>I26-J26</f>
        <v>0</v>
      </c>
      <c r="L26" s="88">
        <f t="shared" si="9"/>
        <v>1298186091</v>
      </c>
      <c r="M26" s="101">
        <f t="shared" si="13"/>
        <v>1298186091</v>
      </c>
      <c r="N26" s="101">
        <f t="shared" si="0"/>
        <v>0</v>
      </c>
      <c r="O26" s="14"/>
      <c r="P26" s="97">
        <f t="shared" si="10"/>
        <v>7506028156</v>
      </c>
      <c r="Q26" s="15"/>
      <c r="R26" s="92">
        <f t="shared" si="11"/>
        <v>198186091</v>
      </c>
      <c r="S26" s="92">
        <f t="shared" si="1"/>
        <v>500000000</v>
      </c>
      <c r="T26" s="88">
        <f t="shared" si="12"/>
        <v>0</v>
      </c>
      <c r="U26" s="97">
        <f t="shared" si="2"/>
        <v>0</v>
      </c>
      <c r="V26" s="2"/>
    </row>
    <row r="27" spans="2:30" ht="30.75" customHeight="1" thickBot="1" x14ac:dyDescent="0.25">
      <c r="B27" s="68" t="s">
        <v>30</v>
      </c>
      <c r="C27" s="115">
        <v>9454004712</v>
      </c>
      <c r="D27" s="115">
        <v>600000000</v>
      </c>
      <c r="E27" s="125">
        <v>0</v>
      </c>
      <c r="F27" s="87">
        <f t="shared" si="3"/>
        <v>84394854</v>
      </c>
      <c r="G27" s="100">
        <f t="shared" si="4"/>
        <v>84394854</v>
      </c>
      <c r="H27" s="100">
        <f t="shared" si="5"/>
        <v>0</v>
      </c>
      <c r="I27" s="88">
        <f t="shared" si="6"/>
        <v>565395611</v>
      </c>
      <c r="J27" s="100">
        <f t="shared" si="7"/>
        <v>565395611</v>
      </c>
      <c r="K27" s="100">
        <f t="shared" si="8"/>
        <v>0</v>
      </c>
      <c r="L27" s="88">
        <f t="shared" si="9"/>
        <v>1298186091</v>
      </c>
      <c r="M27" s="101">
        <f t="shared" si="13"/>
        <v>1298186091</v>
      </c>
      <c r="N27" s="101">
        <f t="shared" si="0"/>
        <v>0</v>
      </c>
      <c r="O27" s="14"/>
      <c r="P27" s="97">
        <f t="shared" si="10"/>
        <v>7506028156</v>
      </c>
      <c r="Q27" s="15"/>
      <c r="R27" s="92">
        <f t="shared" si="11"/>
        <v>198186091</v>
      </c>
      <c r="S27" s="92">
        <f t="shared" si="1"/>
        <v>500000000</v>
      </c>
      <c r="T27" s="88">
        <f t="shared" si="12"/>
        <v>0</v>
      </c>
      <c r="U27" s="97">
        <f t="shared" si="2"/>
        <v>0</v>
      </c>
      <c r="V27" s="2"/>
      <c r="W27" s="44"/>
      <c r="X27" s="164" t="s">
        <v>75</v>
      </c>
      <c r="Y27" s="164"/>
      <c r="Z27" s="164"/>
      <c r="AA27" s="164"/>
      <c r="AB27" s="45"/>
    </row>
    <row r="28" spans="2:30" ht="30.75" customHeight="1" thickBot="1" x14ac:dyDescent="0.25">
      <c r="B28" s="68" t="s">
        <v>31</v>
      </c>
      <c r="C28" s="115">
        <v>9454004712</v>
      </c>
      <c r="D28" s="115">
        <v>600000000</v>
      </c>
      <c r="E28" s="125">
        <v>0</v>
      </c>
      <c r="F28" s="87">
        <f>IF(C28="","",$D$4)</f>
        <v>84394854</v>
      </c>
      <c r="G28" s="100">
        <f t="shared" si="4"/>
        <v>84394854</v>
      </c>
      <c r="H28" s="100">
        <f t="shared" si="5"/>
        <v>0</v>
      </c>
      <c r="I28" s="88">
        <f t="shared" si="6"/>
        <v>565395611</v>
      </c>
      <c r="J28" s="100">
        <f t="shared" si="7"/>
        <v>565395611</v>
      </c>
      <c r="K28" s="100">
        <f t="shared" si="8"/>
        <v>0</v>
      </c>
      <c r="L28" s="88">
        <f t="shared" si="9"/>
        <v>1298186091</v>
      </c>
      <c r="M28" s="101">
        <f t="shared" si="13"/>
        <v>1298186091</v>
      </c>
      <c r="N28" s="101">
        <f t="shared" si="0"/>
        <v>0</v>
      </c>
      <c r="O28" s="14"/>
      <c r="P28" s="97">
        <f t="shared" si="10"/>
        <v>7506028156</v>
      </c>
      <c r="Q28" s="15"/>
      <c r="R28" s="92">
        <f t="shared" si="11"/>
        <v>198186091</v>
      </c>
      <c r="S28" s="92">
        <f t="shared" si="1"/>
        <v>500000000</v>
      </c>
      <c r="T28" s="88">
        <f t="shared" si="12"/>
        <v>0</v>
      </c>
      <c r="U28" s="97">
        <f t="shared" si="2"/>
        <v>0</v>
      </c>
      <c r="V28" s="2"/>
      <c r="W28" s="46"/>
      <c r="X28" s="165"/>
      <c r="Y28" s="165"/>
      <c r="Z28" s="165"/>
      <c r="AA28" s="165"/>
      <c r="AB28" s="47"/>
    </row>
    <row r="29" spans="2:30" ht="30.75" customHeight="1" thickBot="1" x14ac:dyDescent="0.25">
      <c r="B29" s="68" t="s">
        <v>32</v>
      </c>
      <c r="C29" s="115">
        <v>9454004712</v>
      </c>
      <c r="D29" s="115">
        <v>600000000</v>
      </c>
      <c r="E29" s="125">
        <v>0</v>
      </c>
      <c r="F29" s="87">
        <f>IF(C29="","",IF(VALUE(LEFT(B29,2))&gt;$D$3,"",$D$4))</f>
        <v>84394854</v>
      </c>
      <c r="G29" s="100">
        <f>IF(VALUE(LEFT(B29,2))&gt;$D$3,"",MIN(C29,$D$4))</f>
        <v>84394854</v>
      </c>
      <c r="H29" s="100">
        <f>IF(VALUE(LEFT(B29,2))&gt;$D$3,"",F29-G29)</f>
        <v>0</v>
      </c>
      <c r="I29" s="88">
        <f>IF(C29="","",IF(VALUE(LEFT(B29,2))&gt;$D$3,"",MAX(ROUNDDOWN($P$3/365,0)-$D$4,0)))</f>
        <v>565395611</v>
      </c>
      <c r="J29" s="100">
        <f>IF(VALUE(LEFT(B29,2))&gt;$D$3,"",MAX(MIN(C29-G29,ROUNDDOWN($P$3/365,0)-G29),0))</f>
        <v>565395611</v>
      </c>
      <c r="K29" s="100">
        <f>IF(VALUE(LEFT(B29,2))&gt;$D$3,"",I29-J29)</f>
        <v>0</v>
      </c>
      <c r="L29" s="88">
        <f>IF(C29="","",IF(VALUE(LEFT(B29,2))&gt;$D$3,"",R29+D29+S29+T29-U29))</f>
        <v>1298186091</v>
      </c>
      <c r="M29" s="101">
        <f>IF(VALUE(LEFT(B29,2))&gt;D$3,"",MAX(MIN(C29-G29-J29,R29+D29+S29+T29-U29),0))</f>
        <v>1298186091</v>
      </c>
      <c r="N29" s="101">
        <f>IF(VALUE(LEFT(B29,2))&gt;$D$3,"",L29-M29)</f>
        <v>0</v>
      </c>
      <c r="O29" s="14"/>
      <c r="P29" s="97">
        <f>IF(C29="","",IF(VALUE(LEFT(B29,2))&gt;$D$3,"",MAX(C29-(F29+I29+L29),0)))</f>
        <v>7506028156</v>
      </c>
      <c r="Q29" s="15"/>
      <c r="R29" s="92">
        <f>IF(C29="","",IF(VALUE(LEFT(B29,2))&gt;$D$3,"",ROUNDDOWN(ROUNDDOWN($P$3/365,0)*D$5/100,0)+IFERROR(ROUNDDOWN(ROUNDDOWN(T$8/T$9,0)*$D$5/100,0),0)))</f>
        <v>198186091</v>
      </c>
      <c r="S29" s="92">
        <f t="shared" si="1"/>
        <v>500000000</v>
      </c>
      <c r="T29" s="88">
        <f>IF(C29="","",IF(VALUE(LEFT(B29,2))&gt;$D$3,"",ROUNDDOWN($T$4/$D$3,0)+$T$6))</f>
        <v>0</v>
      </c>
      <c r="U29" s="97">
        <f>IF(C29="","",IF(VALUE(LEFT(B29,2))&gt;$D$3,"",IF($AA$4="○",ROUNDDOWN((R29+D29+S29+T29)*25/100,0)+ROUNDDOWN(AA$6/$D$3,0),ROUNDDOWN(AA$6/$D$3,0))))</f>
        <v>0</v>
      </c>
      <c r="V29" s="2"/>
      <c r="W29" s="49"/>
      <c r="X29" s="156" t="s">
        <v>52</v>
      </c>
      <c r="Y29" s="156"/>
      <c r="Z29" s="157" t="s">
        <v>61</v>
      </c>
      <c r="AA29" s="156" t="s">
        <v>62</v>
      </c>
      <c r="AB29" s="50"/>
    </row>
    <row r="30" spans="2:30" ht="30.75" customHeight="1" thickBot="1" x14ac:dyDescent="0.25">
      <c r="B30" s="68" t="s">
        <v>33</v>
      </c>
      <c r="C30" s="115">
        <v>9454004712</v>
      </c>
      <c r="D30" s="115">
        <v>600000000</v>
      </c>
      <c r="E30" s="125">
        <v>0</v>
      </c>
      <c r="F30" s="87">
        <f>IF(C30="","",IF(VALUE(LEFT(B30,2))&gt;$D$3,"",$D$4))</f>
        <v>84394854</v>
      </c>
      <c r="G30" s="100">
        <f>IF(VALUE(LEFT(B30,2))&gt;$D$3,"",MIN(C30,$D$4))</f>
        <v>84394854</v>
      </c>
      <c r="H30" s="100">
        <f>IF(VALUE(LEFT(B30,2))&gt;$D$3,"",F30-G30)</f>
        <v>0</v>
      </c>
      <c r="I30" s="88">
        <f>IF(C30="","",IF(VALUE(LEFT(B30,2))&gt;$D$3,"",MAX(ROUNDDOWN($P$3/365,0)-$D$4,0)))</f>
        <v>565395611</v>
      </c>
      <c r="J30" s="100">
        <f>IF(VALUE(LEFT(B30,2))&gt;$D$3,"",MAX(MIN(C30-G30,ROUNDDOWN($P$3/365,0)-G30),0))</f>
        <v>565395611</v>
      </c>
      <c r="K30" s="100">
        <f>IF(VALUE(LEFT(B30,2))&gt;$D$3,"",I30-J30)</f>
        <v>0</v>
      </c>
      <c r="L30" s="88">
        <f>IF(C30="","",IF(VALUE(LEFT(B30,2))&gt;$D$3,"",R30+D30+S30+T30-U30))</f>
        <v>1298186091</v>
      </c>
      <c r="M30" s="101">
        <f>IF(VALUE(LEFT(B30,2))&gt;D$3,"",MAX(MIN(C30-G30-J30,R30+D30+S30+T30-U30),0))</f>
        <v>1298186091</v>
      </c>
      <c r="N30" s="101">
        <f>IF(VALUE(LEFT(B30,2))&gt;$D$3,"",L30-M30)</f>
        <v>0</v>
      </c>
      <c r="O30" s="14"/>
      <c r="P30" s="97">
        <f>IF(C30="","",IF(VALUE(LEFT(B30,2))&gt;$D$3,"",MAX(C30-(F30+I30+L30),0)))</f>
        <v>7506028156</v>
      </c>
      <c r="Q30" s="15"/>
      <c r="R30" s="92">
        <f>IF(C30="","",IF(VALUE(LEFT(B30,2))&gt;$D$3,"",ROUNDDOWN(ROUNDDOWN($P$3/365,0)*D$5/100,0)+IFERROR(ROUNDDOWN(ROUNDDOWN(T$8/T$9,0)*$D$5/100,0),0)))</f>
        <v>198186091</v>
      </c>
      <c r="S30" s="92">
        <f t="shared" si="1"/>
        <v>500000000</v>
      </c>
      <c r="T30" s="88">
        <f>IF(C30="","",IF(VALUE(LEFT(B30,2))&gt;$D$3,"",ROUNDDOWN($T$4/$D$3,0)+$T$6))</f>
        <v>0</v>
      </c>
      <c r="U30" s="97">
        <f>IF(C30="","",IF(VALUE(LEFT(B30,2))&gt;$D$3,"",IF($AA$4="○",ROUNDDOWN((R30+D30+S30+T30)*25/100,0)+ROUNDDOWN(AA$6/$D$3,0),ROUNDDOWN(AA$6/$D$3,0))))</f>
        <v>0</v>
      </c>
      <c r="V30" s="24"/>
      <c r="W30" s="46"/>
      <c r="X30" s="156"/>
      <c r="Y30" s="156"/>
      <c r="Z30" s="157"/>
      <c r="AA30" s="156"/>
      <c r="AB30" s="47"/>
    </row>
    <row r="31" spans="2:30" ht="30.75" customHeight="1" thickBot="1" x14ac:dyDescent="0.25">
      <c r="B31" s="68" t="s">
        <v>34</v>
      </c>
      <c r="C31" s="115">
        <v>9454004712</v>
      </c>
      <c r="D31" s="115">
        <v>600000000</v>
      </c>
      <c r="E31" s="125">
        <v>0</v>
      </c>
      <c r="F31" s="87">
        <f>IF(C31="","",IF(VALUE(LEFT(B31,2))&gt;$D$3,"",$D$4))</f>
        <v>84394854</v>
      </c>
      <c r="G31" s="100">
        <f>IF(VALUE(LEFT(B31,2))&gt;$D$3,"",MIN(C31,$D$4))</f>
        <v>84394854</v>
      </c>
      <c r="H31" s="100">
        <f>IF(VALUE(LEFT(B31,2))&gt;$D$3,"",F31-G31)</f>
        <v>0</v>
      </c>
      <c r="I31" s="88">
        <f>IF(C31="","",IF(VALUE(LEFT(B31,2))&gt;$D$3,"",MAX(ROUNDDOWN($P$3/365,0)-$D$4,0)))</f>
        <v>565395611</v>
      </c>
      <c r="J31" s="100">
        <f>IF(VALUE(LEFT(B31,2))&gt;$D$3,"",MAX(MIN(C31-G31,ROUNDDOWN($P$3/365,0)-G31),0))</f>
        <v>565395611</v>
      </c>
      <c r="K31" s="100">
        <f>IF(VALUE(LEFT(B31,2))&gt;$D$3,"",I31-J31)</f>
        <v>0</v>
      </c>
      <c r="L31" s="88">
        <f>IF(C31="","",IF(VALUE(LEFT(B31,2))&gt;$D$3,"",R31+D31+S31+T31-U31))</f>
        <v>1298186091</v>
      </c>
      <c r="M31" s="101">
        <f>IF(VALUE(LEFT(B31,2))&gt;D$3,"",MAX(MIN(C31-G31-J31,R31+D31+S31+T31-U31),0))</f>
        <v>1298186091</v>
      </c>
      <c r="N31" s="101">
        <f>IF(VALUE(LEFT(B31,2))&gt;$D$3,"",L31-M31)</f>
        <v>0</v>
      </c>
      <c r="O31" s="14"/>
      <c r="P31" s="97">
        <f>IF(C31="","",IF(VALUE(LEFT(B31,2))&gt;$D$3,"",MAX(C31-(F31+I31+L31),0)))</f>
        <v>7506028156</v>
      </c>
      <c r="Q31" s="15"/>
      <c r="R31" s="92">
        <f>IF(C31="","",IF(VALUE(LEFT(B31,2))&gt;$D$3,"",ROUNDDOWN(ROUNDDOWN($P$3/365,0)*D$5/100,0)+IFERROR(ROUNDDOWN(ROUNDDOWN(T$8/T$9,0)*$D$5/100,0),0)))</f>
        <v>198186091</v>
      </c>
      <c r="S31" s="92">
        <f t="shared" si="1"/>
        <v>500000000</v>
      </c>
      <c r="T31" s="88">
        <f>IF(C31="","",IF(VALUE(LEFT(B31,2))&gt;$D$3,"",ROUNDDOWN($T$4/$D$3,0)+$T$6))</f>
        <v>0</v>
      </c>
      <c r="U31" s="97">
        <f>IF(C31="","",IF(VALUE(LEFT(B31,2))&gt;$D$3,"",IF($AA$4="○",ROUNDDOWN((R31+D31+S31+T31)*25/100,0)+ROUNDDOWN(AA$6/$D$3,0),ROUNDDOWN(AA$6/$D$3,0))))</f>
        <v>0</v>
      </c>
      <c r="V31" s="2"/>
      <c r="W31" s="49"/>
      <c r="X31" s="156"/>
      <c r="Y31" s="156"/>
      <c r="Z31" s="77">
        <f>$D$4*$D$3</f>
        <v>2616240474</v>
      </c>
      <c r="AA31" s="77">
        <f>MAX($Z$31-$AA$16,0)</f>
        <v>0</v>
      </c>
      <c r="AB31" s="51"/>
      <c r="AC31" s="8"/>
      <c r="AD31" s="8"/>
    </row>
    <row r="32" spans="2:30" ht="30.75" customHeight="1" thickBot="1" x14ac:dyDescent="0.25">
      <c r="B32" s="68" t="s">
        <v>18</v>
      </c>
      <c r="C32" s="115">
        <v>9454004712</v>
      </c>
      <c r="D32" s="115">
        <v>600000000</v>
      </c>
      <c r="E32" s="125">
        <v>0</v>
      </c>
      <c r="F32" s="87">
        <f>IF(C32="","",$D$4)</f>
        <v>84394854</v>
      </c>
      <c r="G32" s="100">
        <f t="shared" ref="G32:G46" si="14">MIN(C32,$D$4)</f>
        <v>84394854</v>
      </c>
      <c r="H32" s="100">
        <f t="shared" si="5"/>
        <v>0</v>
      </c>
      <c r="I32" s="88">
        <f>IF(C32="","",MAX(ROUNDDOWN($P$3/365,0)-$D$4,0))</f>
        <v>565395611</v>
      </c>
      <c r="J32" s="100">
        <f t="shared" ref="J32:J46" si="15">MAX(MIN(C32-G32,ROUNDDOWN($P$3/365,0)-G32),0)</f>
        <v>565395611</v>
      </c>
      <c r="K32" s="100">
        <f>I32-J32</f>
        <v>0</v>
      </c>
      <c r="L32" s="88">
        <f>IF(C32="","",R32+D32+S32+T32-U32)</f>
        <v>1298186091</v>
      </c>
      <c r="M32" s="101">
        <f>MAX(MIN(C32-G32-J32,R32+D32+S32+T32-U32),0)</f>
        <v>1298186091</v>
      </c>
      <c r="N32" s="101">
        <f t="shared" si="0"/>
        <v>0</v>
      </c>
      <c r="O32" s="14"/>
      <c r="P32" s="97">
        <f t="shared" ref="P32:P46" si="16">IF(C32="","",MAX(C32-(F32+I32+L32),0))</f>
        <v>7506028156</v>
      </c>
      <c r="Q32" s="15"/>
      <c r="R32" s="92">
        <f t="shared" ref="R32:R46" si="17">IF(C32="","",ROUNDDOWN(ROUNDDOWN($P$3/365,0)*$D$5/100,0)+IFERROR(ROUNDDOWN(ROUNDDOWN(T$8/T$9,0)*$D$5/100,0),0))</f>
        <v>198186091</v>
      </c>
      <c r="S32" s="92">
        <f t="shared" si="1"/>
        <v>500000000</v>
      </c>
      <c r="T32" s="88">
        <f t="shared" ref="T32:T46" si="18">IF(C32="","",ROUNDDOWN($T$4/$D$3,0)+$T$6)</f>
        <v>0</v>
      </c>
      <c r="U32" s="97">
        <f t="shared" si="2"/>
        <v>0</v>
      </c>
      <c r="V32" s="2"/>
      <c r="W32" s="46"/>
      <c r="X32" s="156" t="s">
        <v>53</v>
      </c>
      <c r="Y32" s="156"/>
      <c r="Z32" s="157" t="s">
        <v>63</v>
      </c>
      <c r="AA32" s="156" t="s">
        <v>65</v>
      </c>
      <c r="AB32" s="47"/>
    </row>
    <row r="33" spans="2:28" ht="30.75" customHeight="1" thickBot="1" x14ac:dyDescent="0.25">
      <c r="B33" s="68" t="s">
        <v>35</v>
      </c>
      <c r="C33" s="115">
        <v>9834004712</v>
      </c>
      <c r="D33" s="115">
        <v>600000000</v>
      </c>
      <c r="E33" s="125">
        <v>0</v>
      </c>
      <c r="F33" s="87">
        <f t="shared" ref="F33:F45" si="19">IF(C33="","",$D$4)</f>
        <v>84394854</v>
      </c>
      <c r="G33" s="100">
        <f t="shared" si="14"/>
        <v>84394854</v>
      </c>
      <c r="H33" s="100">
        <f t="shared" si="5"/>
        <v>0</v>
      </c>
      <c r="I33" s="88">
        <f t="shared" ref="I33:I45" si="20">IF(C33="","",MAX(ROUNDDOWN($P$3/365,0)-$D$4,0))</f>
        <v>565395611</v>
      </c>
      <c r="J33" s="100">
        <f t="shared" si="15"/>
        <v>565395611</v>
      </c>
      <c r="K33" s="100">
        <f t="shared" si="8"/>
        <v>0</v>
      </c>
      <c r="L33" s="88">
        <f>IF(C33="","",R33+D33+S33+T33-U33)</f>
        <v>1298186091</v>
      </c>
      <c r="M33" s="101">
        <f t="shared" ref="M33:M45" si="21">MAX(MIN(C33-G33-J33,R33+D33+S33+T33-U33),0)</f>
        <v>1298186091</v>
      </c>
      <c r="N33" s="101">
        <f t="shared" si="0"/>
        <v>0</v>
      </c>
      <c r="O33" s="14"/>
      <c r="P33" s="97">
        <f t="shared" si="16"/>
        <v>7886028156</v>
      </c>
      <c r="Q33" s="15"/>
      <c r="R33" s="92">
        <f t="shared" si="17"/>
        <v>198186091</v>
      </c>
      <c r="S33" s="92">
        <f t="shared" si="1"/>
        <v>500000000</v>
      </c>
      <c r="T33" s="88">
        <f t="shared" si="18"/>
        <v>0</v>
      </c>
      <c r="U33" s="97">
        <f t="shared" si="2"/>
        <v>0</v>
      </c>
      <c r="V33" s="2"/>
      <c r="W33" s="46"/>
      <c r="X33" s="156"/>
      <c r="Y33" s="156"/>
      <c r="Z33" s="157"/>
      <c r="AA33" s="156"/>
      <c r="AB33" s="47"/>
    </row>
    <row r="34" spans="2:28" ht="30.75" customHeight="1" thickBot="1" x14ac:dyDescent="0.25">
      <c r="B34" s="68" t="s">
        <v>36</v>
      </c>
      <c r="C34" s="115">
        <v>9974004712</v>
      </c>
      <c r="D34" s="115">
        <v>600000000</v>
      </c>
      <c r="E34" s="125">
        <v>0</v>
      </c>
      <c r="F34" s="87">
        <f t="shared" si="19"/>
        <v>84394854</v>
      </c>
      <c r="G34" s="100">
        <f t="shared" si="14"/>
        <v>84394854</v>
      </c>
      <c r="H34" s="100">
        <f t="shared" si="5"/>
        <v>0</v>
      </c>
      <c r="I34" s="88">
        <f t="shared" si="20"/>
        <v>565395611</v>
      </c>
      <c r="J34" s="100">
        <f t="shared" si="15"/>
        <v>565395611</v>
      </c>
      <c r="K34" s="100">
        <f t="shared" si="8"/>
        <v>0</v>
      </c>
      <c r="L34" s="88">
        <f t="shared" ref="L34:L46" si="22">IF(C34="","",R34+D34+S34+T34-U34)</f>
        <v>1298186091</v>
      </c>
      <c r="M34" s="101">
        <f t="shared" si="21"/>
        <v>1298186091</v>
      </c>
      <c r="N34" s="101">
        <f t="shared" si="0"/>
        <v>0</v>
      </c>
      <c r="O34" s="14"/>
      <c r="P34" s="97">
        <f t="shared" si="16"/>
        <v>8026028156</v>
      </c>
      <c r="Q34" s="15"/>
      <c r="R34" s="92">
        <f t="shared" si="17"/>
        <v>198186091</v>
      </c>
      <c r="S34" s="92">
        <f t="shared" si="1"/>
        <v>500000000</v>
      </c>
      <c r="T34" s="88">
        <f t="shared" si="18"/>
        <v>0</v>
      </c>
      <c r="U34" s="97">
        <f t="shared" si="2"/>
        <v>0</v>
      </c>
      <c r="V34" s="2"/>
      <c r="W34" s="49"/>
      <c r="X34" s="156"/>
      <c r="Y34" s="156"/>
      <c r="Z34" s="77">
        <f>MAX(ROUNDDOWN($P$3*$D$3/365,0)-$D$4*$D$3,0)</f>
        <v>17527263953</v>
      </c>
      <c r="AA34" s="77">
        <f>MAX($Z$34-$AA$18,0)</f>
        <v>0</v>
      </c>
      <c r="AB34" s="47"/>
    </row>
    <row r="35" spans="2:28" ht="30.75" customHeight="1" thickBot="1" x14ac:dyDescent="0.25">
      <c r="B35" s="68" t="s">
        <v>37</v>
      </c>
      <c r="C35" s="115">
        <v>9934004712</v>
      </c>
      <c r="D35" s="115">
        <v>600000000</v>
      </c>
      <c r="E35" s="125">
        <v>0</v>
      </c>
      <c r="F35" s="87">
        <f t="shared" si="19"/>
        <v>84394854</v>
      </c>
      <c r="G35" s="100">
        <f t="shared" si="14"/>
        <v>84394854</v>
      </c>
      <c r="H35" s="100">
        <f t="shared" si="5"/>
        <v>0</v>
      </c>
      <c r="I35" s="88">
        <f t="shared" si="20"/>
        <v>565395611</v>
      </c>
      <c r="J35" s="100">
        <f t="shared" si="15"/>
        <v>565395611</v>
      </c>
      <c r="K35" s="100">
        <f t="shared" si="8"/>
        <v>0</v>
      </c>
      <c r="L35" s="88">
        <f t="shared" si="22"/>
        <v>1298186091</v>
      </c>
      <c r="M35" s="101">
        <f t="shared" si="21"/>
        <v>1298186091</v>
      </c>
      <c r="N35" s="101">
        <f t="shared" si="0"/>
        <v>0</v>
      </c>
      <c r="O35" s="14"/>
      <c r="P35" s="97">
        <f t="shared" si="16"/>
        <v>7986028156</v>
      </c>
      <c r="Q35" s="15"/>
      <c r="R35" s="92">
        <f t="shared" si="17"/>
        <v>198186091</v>
      </c>
      <c r="S35" s="92">
        <f t="shared" si="1"/>
        <v>500000000</v>
      </c>
      <c r="T35" s="88">
        <f t="shared" si="18"/>
        <v>0</v>
      </c>
      <c r="U35" s="97">
        <f t="shared" si="2"/>
        <v>0</v>
      </c>
      <c r="V35" s="2"/>
      <c r="W35" s="46"/>
      <c r="X35" s="156" t="s">
        <v>58</v>
      </c>
      <c r="Y35" s="156"/>
      <c r="Z35" s="157" t="s">
        <v>64</v>
      </c>
      <c r="AA35" s="156" t="s">
        <v>66</v>
      </c>
      <c r="AB35" s="47"/>
    </row>
    <row r="36" spans="2:28" ht="30.75" customHeight="1" thickBot="1" x14ac:dyDescent="0.25">
      <c r="B36" s="68" t="s">
        <v>38</v>
      </c>
      <c r="C36" s="115">
        <v>9934004712</v>
      </c>
      <c r="D36" s="115">
        <v>600000000</v>
      </c>
      <c r="E36" s="125">
        <v>0</v>
      </c>
      <c r="F36" s="87">
        <f t="shared" si="19"/>
        <v>84394854</v>
      </c>
      <c r="G36" s="100">
        <f t="shared" si="14"/>
        <v>84394854</v>
      </c>
      <c r="H36" s="100">
        <f t="shared" si="5"/>
        <v>0</v>
      </c>
      <c r="I36" s="88">
        <f t="shared" si="20"/>
        <v>565395611</v>
      </c>
      <c r="J36" s="100">
        <f t="shared" si="15"/>
        <v>565395611</v>
      </c>
      <c r="K36" s="100">
        <f t="shared" si="8"/>
        <v>0</v>
      </c>
      <c r="L36" s="88">
        <f t="shared" si="22"/>
        <v>1298186091</v>
      </c>
      <c r="M36" s="101">
        <f t="shared" si="21"/>
        <v>1298186091</v>
      </c>
      <c r="N36" s="101">
        <f t="shared" si="0"/>
        <v>0</v>
      </c>
      <c r="O36" s="14"/>
      <c r="P36" s="97">
        <f t="shared" si="16"/>
        <v>7986028156</v>
      </c>
      <c r="Q36" s="15"/>
      <c r="R36" s="92">
        <f t="shared" si="17"/>
        <v>198186091</v>
      </c>
      <c r="S36" s="92">
        <f t="shared" si="1"/>
        <v>500000000</v>
      </c>
      <c r="T36" s="88">
        <f t="shared" si="18"/>
        <v>0</v>
      </c>
      <c r="U36" s="97">
        <f t="shared" si="2"/>
        <v>0</v>
      </c>
      <c r="V36" s="2"/>
      <c r="W36" s="49"/>
      <c r="X36" s="156"/>
      <c r="Y36" s="156"/>
      <c r="Z36" s="157"/>
      <c r="AA36" s="156"/>
      <c r="AB36" s="50"/>
    </row>
    <row r="37" spans="2:28" ht="30.75" customHeight="1" thickBot="1" x14ac:dyDescent="0.25">
      <c r="B37" s="68" t="s">
        <v>39</v>
      </c>
      <c r="C37" s="115">
        <v>9934004712</v>
      </c>
      <c r="D37" s="115">
        <v>800000000</v>
      </c>
      <c r="E37" s="125">
        <v>0</v>
      </c>
      <c r="F37" s="87">
        <f t="shared" si="19"/>
        <v>84394854</v>
      </c>
      <c r="G37" s="100">
        <f t="shared" si="14"/>
        <v>84394854</v>
      </c>
      <c r="H37" s="100">
        <f t="shared" si="5"/>
        <v>0</v>
      </c>
      <c r="I37" s="88">
        <f>IF(C37="","",MAX(ROUNDDOWN($P$3/365,0)-$D$4,0))</f>
        <v>565395611</v>
      </c>
      <c r="J37" s="100">
        <f t="shared" si="15"/>
        <v>565395611</v>
      </c>
      <c r="K37" s="100">
        <f t="shared" si="8"/>
        <v>0</v>
      </c>
      <c r="L37" s="88">
        <f t="shared" si="22"/>
        <v>1698186091</v>
      </c>
      <c r="M37" s="101">
        <f t="shared" si="21"/>
        <v>1698186091</v>
      </c>
      <c r="N37" s="101">
        <f t="shared" si="0"/>
        <v>0</v>
      </c>
      <c r="O37" s="14"/>
      <c r="P37" s="97">
        <f t="shared" si="16"/>
        <v>7586028156</v>
      </c>
      <c r="Q37" s="15"/>
      <c r="R37" s="92">
        <f t="shared" si="17"/>
        <v>198186091</v>
      </c>
      <c r="S37" s="92">
        <f t="shared" si="1"/>
        <v>700000000</v>
      </c>
      <c r="T37" s="88">
        <f t="shared" si="18"/>
        <v>0</v>
      </c>
      <c r="U37" s="97">
        <f t="shared" si="2"/>
        <v>0</v>
      </c>
      <c r="V37" s="2"/>
      <c r="W37" s="46"/>
      <c r="X37" s="156"/>
      <c r="Y37" s="156"/>
      <c r="Z37" s="77">
        <f>ROUNDDOWN(ROUNDDOWN($P$3*$D$3/365,0)*$D$5/100,0)+IFERROR(ROUNDDOWN(ROUNDDOWN($T$8*$D$3/$T$9,0)*$D$5/100,0),0)+$D$48+ROUNDDOWN(MAX($D$48-$E$48-$P$4*$D$3,0)*$D$6/100,0)+$T$4+$T$6*$D$3-IF($AA$4="○",ROUNDDOWN((ROUNDDOWN(ROUNDDOWN($P$3*$D$3/365,0)*$D$5/100,0)+IFERROR(ROUNDDOWN(ROUNDDOWN($T$8*$D$3/$T$9,0)*$D$5/100,0),0)+$D$48+ROUNDDOWN(MAX($D$48-$E$48-$P$4*$D$3,0)*$D$6/100,0)+$T$4+$T$6*$D$3)*25/100,0),0)-AA6</f>
        <v>40243768850</v>
      </c>
      <c r="AA37" s="77">
        <f>MAX($Z$37-$AA$20,0)</f>
        <v>0</v>
      </c>
      <c r="AB37" s="47"/>
    </row>
    <row r="38" spans="2:28" ht="30.75" customHeight="1" thickBot="1" x14ac:dyDescent="0.25">
      <c r="B38" s="68" t="s">
        <v>40</v>
      </c>
      <c r="C38" s="115">
        <v>9934004712</v>
      </c>
      <c r="D38" s="115">
        <v>800000000</v>
      </c>
      <c r="E38" s="125">
        <v>0</v>
      </c>
      <c r="F38" s="87">
        <f t="shared" si="19"/>
        <v>84394854</v>
      </c>
      <c r="G38" s="100">
        <f t="shared" si="14"/>
        <v>84394854</v>
      </c>
      <c r="H38" s="100">
        <f t="shared" si="5"/>
        <v>0</v>
      </c>
      <c r="I38" s="88">
        <f t="shared" si="20"/>
        <v>565395611</v>
      </c>
      <c r="J38" s="100">
        <f t="shared" si="15"/>
        <v>565395611</v>
      </c>
      <c r="K38" s="100">
        <f t="shared" si="8"/>
        <v>0</v>
      </c>
      <c r="L38" s="88">
        <f t="shared" si="22"/>
        <v>1698186091</v>
      </c>
      <c r="M38" s="101">
        <f t="shared" si="21"/>
        <v>1698186091</v>
      </c>
      <c r="N38" s="101">
        <f t="shared" si="0"/>
        <v>0</v>
      </c>
      <c r="O38" s="14"/>
      <c r="P38" s="97">
        <f t="shared" si="16"/>
        <v>7586028156</v>
      </c>
      <c r="Q38" s="15"/>
      <c r="R38" s="92">
        <f t="shared" si="17"/>
        <v>198186091</v>
      </c>
      <c r="S38" s="92">
        <f t="shared" si="1"/>
        <v>700000000</v>
      </c>
      <c r="T38" s="88">
        <f t="shared" si="18"/>
        <v>0</v>
      </c>
      <c r="U38" s="97">
        <f t="shared" si="2"/>
        <v>0</v>
      </c>
      <c r="V38" s="2"/>
      <c r="W38" s="49"/>
      <c r="X38" s="154" t="s">
        <v>76</v>
      </c>
      <c r="Y38" s="154"/>
      <c r="Z38" s="154"/>
      <c r="AA38" s="155" t="str">
        <f>IF(AA20&lt;(ROUNDDOWN(ROUNDDOWN($P$3*$D$3/365,0)*$D$5/100,0)+IFERROR(ROUNDDOWN(ROUNDDOWN($T$8*$D$3/$T$9,0)*$D$5/100,0),0)+$D$48+ROUNDDOWN(MAX($D$48-E48-$P$4*$D$3,0)*$D$6/100,0)+$T$4+$T$6*$D$3)*50/100,"○","")</f>
        <v/>
      </c>
      <c r="AB38" s="47"/>
    </row>
    <row r="39" spans="2:28" ht="30.75" customHeight="1" thickBot="1" x14ac:dyDescent="0.25">
      <c r="B39" s="68" t="s">
        <v>41</v>
      </c>
      <c r="C39" s="115">
        <v>9934004712</v>
      </c>
      <c r="D39" s="115">
        <v>800000000</v>
      </c>
      <c r="E39" s="125">
        <v>0</v>
      </c>
      <c r="F39" s="87">
        <f t="shared" si="19"/>
        <v>84394854</v>
      </c>
      <c r="G39" s="100">
        <f t="shared" si="14"/>
        <v>84394854</v>
      </c>
      <c r="H39" s="100">
        <f t="shared" si="5"/>
        <v>0</v>
      </c>
      <c r="I39" s="88">
        <f t="shared" si="20"/>
        <v>565395611</v>
      </c>
      <c r="J39" s="100">
        <f t="shared" si="15"/>
        <v>565395611</v>
      </c>
      <c r="K39" s="100">
        <f t="shared" si="8"/>
        <v>0</v>
      </c>
      <c r="L39" s="88">
        <f t="shared" si="22"/>
        <v>1698186091</v>
      </c>
      <c r="M39" s="101">
        <f t="shared" si="21"/>
        <v>1698186091</v>
      </c>
      <c r="N39" s="101">
        <f t="shared" si="0"/>
        <v>0</v>
      </c>
      <c r="O39" s="14"/>
      <c r="P39" s="97">
        <f t="shared" si="16"/>
        <v>7586028156</v>
      </c>
      <c r="Q39" s="15"/>
      <c r="R39" s="92">
        <f t="shared" si="17"/>
        <v>198186091</v>
      </c>
      <c r="S39" s="92">
        <f t="shared" si="1"/>
        <v>700000000</v>
      </c>
      <c r="T39" s="88">
        <f t="shared" si="18"/>
        <v>0</v>
      </c>
      <c r="U39" s="97">
        <f t="shared" si="2"/>
        <v>0</v>
      </c>
      <c r="V39" s="2"/>
      <c r="W39" s="46"/>
      <c r="X39" s="154"/>
      <c r="Y39" s="154"/>
      <c r="Z39" s="154"/>
      <c r="AA39" s="155"/>
      <c r="AB39" s="47"/>
    </row>
    <row r="40" spans="2:28" ht="30.75" customHeight="1" thickBot="1" x14ac:dyDescent="0.25">
      <c r="B40" s="68" t="s">
        <v>42</v>
      </c>
      <c r="C40" s="115">
        <v>9934004712</v>
      </c>
      <c r="D40" s="115">
        <v>800000000</v>
      </c>
      <c r="E40" s="125">
        <v>0</v>
      </c>
      <c r="F40" s="87">
        <f t="shared" si="19"/>
        <v>84394854</v>
      </c>
      <c r="G40" s="100">
        <f t="shared" si="14"/>
        <v>84394854</v>
      </c>
      <c r="H40" s="100">
        <f t="shared" si="5"/>
        <v>0</v>
      </c>
      <c r="I40" s="88">
        <f t="shared" si="20"/>
        <v>565395611</v>
      </c>
      <c r="J40" s="100">
        <f t="shared" si="15"/>
        <v>565395611</v>
      </c>
      <c r="K40" s="100">
        <f t="shared" si="8"/>
        <v>0</v>
      </c>
      <c r="L40" s="88">
        <f t="shared" si="22"/>
        <v>1698186091</v>
      </c>
      <c r="M40" s="101">
        <f t="shared" si="21"/>
        <v>1698186091</v>
      </c>
      <c r="N40" s="101">
        <f t="shared" si="0"/>
        <v>0</v>
      </c>
      <c r="O40" s="14"/>
      <c r="P40" s="97">
        <f t="shared" si="16"/>
        <v>7586028156</v>
      </c>
      <c r="Q40" s="15"/>
      <c r="R40" s="92">
        <f t="shared" si="17"/>
        <v>198186091</v>
      </c>
      <c r="S40" s="92">
        <f t="shared" si="1"/>
        <v>700000000</v>
      </c>
      <c r="T40" s="88">
        <f t="shared" si="18"/>
        <v>0</v>
      </c>
      <c r="U40" s="97">
        <f t="shared" si="2"/>
        <v>0</v>
      </c>
      <c r="V40" s="2"/>
      <c r="W40" s="46"/>
      <c r="X40" s="8"/>
      <c r="Y40" s="8"/>
      <c r="Z40" s="8"/>
      <c r="AA40" s="8"/>
      <c r="AB40" s="47"/>
    </row>
    <row r="41" spans="2:28" ht="30.75" customHeight="1" thickBot="1" x14ac:dyDescent="0.25">
      <c r="B41" s="68" t="s">
        <v>43</v>
      </c>
      <c r="C41" s="115">
        <v>9934004712</v>
      </c>
      <c r="D41" s="115">
        <v>800000000</v>
      </c>
      <c r="E41" s="125">
        <v>0</v>
      </c>
      <c r="F41" s="87">
        <f t="shared" si="19"/>
        <v>84394854</v>
      </c>
      <c r="G41" s="100">
        <f t="shared" si="14"/>
        <v>84394854</v>
      </c>
      <c r="H41" s="100">
        <f t="shared" si="5"/>
        <v>0</v>
      </c>
      <c r="I41" s="88">
        <f t="shared" si="20"/>
        <v>565395611</v>
      </c>
      <c r="J41" s="100">
        <f t="shared" si="15"/>
        <v>565395611</v>
      </c>
      <c r="K41" s="100">
        <f t="shared" si="8"/>
        <v>0</v>
      </c>
      <c r="L41" s="88">
        <f t="shared" si="22"/>
        <v>1698186091</v>
      </c>
      <c r="M41" s="101">
        <f t="shared" si="21"/>
        <v>1698186091</v>
      </c>
      <c r="N41" s="101">
        <f t="shared" si="0"/>
        <v>0</v>
      </c>
      <c r="O41" s="14"/>
      <c r="P41" s="97">
        <f t="shared" si="16"/>
        <v>7586028156</v>
      </c>
      <c r="Q41" s="15"/>
      <c r="R41" s="92">
        <f t="shared" si="17"/>
        <v>198186091</v>
      </c>
      <c r="S41" s="92">
        <f t="shared" si="1"/>
        <v>700000000</v>
      </c>
      <c r="T41" s="88">
        <f t="shared" si="18"/>
        <v>0</v>
      </c>
      <c r="U41" s="97">
        <f t="shared" si="2"/>
        <v>0</v>
      </c>
      <c r="V41" s="2"/>
      <c r="W41" s="46"/>
      <c r="X41" s="8"/>
      <c r="Y41" s="8"/>
      <c r="Z41" s="8"/>
      <c r="AA41" s="8"/>
      <c r="AB41" s="47"/>
    </row>
    <row r="42" spans="2:28" ht="30.75" customHeight="1" thickBot="1" x14ac:dyDescent="0.25">
      <c r="B42" s="68" t="s">
        <v>44</v>
      </c>
      <c r="C42" s="115">
        <v>10934004712</v>
      </c>
      <c r="D42" s="115">
        <v>800000000</v>
      </c>
      <c r="E42" s="125">
        <v>0</v>
      </c>
      <c r="F42" s="87">
        <f t="shared" si="19"/>
        <v>84394854</v>
      </c>
      <c r="G42" s="100">
        <f t="shared" si="14"/>
        <v>84394854</v>
      </c>
      <c r="H42" s="100">
        <f t="shared" si="5"/>
        <v>0</v>
      </c>
      <c r="I42" s="88">
        <f t="shared" si="20"/>
        <v>565395611</v>
      </c>
      <c r="J42" s="100">
        <f t="shared" si="15"/>
        <v>565395611</v>
      </c>
      <c r="K42" s="100">
        <f t="shared" si="8"/>
        <v>0</v>
      </c>
      <c r="L42" s="88">
        <f>IF(C42="","",R42+D42+S42+T42-U42)</f>
        <v>1698186091</v>
      </c>
      <c r="M42" s="101">
        <f t="shared" si="21"/>
        <v>1698186091</v>
      </c>
      <c r="N42" s="101">
        <f t="shared" si="0"/>
        <v>0</v>
      </c>
      <c r="O42" s="14"/>
      <c r="P42" s="97">
        <f t="shared" si="16"/>
        <v>8586028156</v>
      </c>
      <c r="Q42" s="15"/>
      <c r="R42" s="92">
        <f t="shared" si="17"/>
        <v>198186091</v>
      </c>
      <c r="S42" s="92">
        <f t="shared" si="1"/>
        <v>700000000</v>
      </c>
      <c r="T42" s="88">
        <f t="shared" si="18"/>
        <v>0</v>
      </c>
      <c r="U42" s="97">
        <f t="shared" si="2"/>
        <v>0</v>
      </c>
      <c r="V42" s="2"/>
      <c r="W42" s="46"/>
      <c r="X42" s="8"/>
      <c r="Y42" s="8"/>
      <c r="Z42" s="8"/>
      <c r="AA42" s="8"/>
      <c r="AB42" s="47"/>
    </row>
    <row r="43" spans="2:28" ht="30.75" customHeight="1" thickBot="1" x14ac:dyDescent="0.25">
      <c r="B43" s="68" t="s">
        <v>45</v>
      </c>
      <c r="C43" s="115">
        <v>10934004712</v>
      </c>
      <c r="D43" s="115">
        <v>800000000</v>
      </c>
      <c r="E43" s="125">
        <v>0</v>
      </c>
      <c r="F43" s="87">
        <f t="shared" si="19"/>
        <v>84394854</v>
      </c>
      <c r="G43" s="100">
        <f t="shared" si="14"/>
        <v>84394854</v>
      </c>
      <c r="H43" s="100">
        <f t="shared" si="5"/>
        <v>0</v>
      </c>
      <c r="I43" s="88">
        <f t="shared" si="20"/>
        <v>565395611</v>
      </c>
      <c r="J43" s="100">
        <f t="shared" si="15"/>
        <v>565395611</v>
      </c>
      <c r="K43" s="100">
        <f t="shared" si="8"/>
        <v>0</v>
      </c>
      <c r="L43" s="88">
        <f t="shared" si="22"/>
        <v>1698186091</v>
      </c>
      <c r="M43" s="101">
        <f>MAX(MIN(C43-G43-J43,R43+D43+S43+T43-U43),0)</f>
        <v>1698186091</v>
      </c>
      <c r="N43" s="101">
        <f t="shared" si="0"/>
        <v>0</v>
      </c>
      <c r="O43" s="14"/>
      <c r="P43" s="97">
        <f t="shared" si="16"/>
        <v>8586028156</v>
      </c>
      <c r="Q43" s="15"/>
      <c r="R43" s="92">
        <f t="shared" si="17"/>
        <v>198186091</v>
      </c>
      <c r="S43" s="92">
        <f t="shared" si="1"/>
        <v>700000000</v>
      </c>
      <c r="T43" s="88">
        <f t="shared" si="18"/>
        <v>0</v>
      </c>
      <c r="U43" s="97">
        <f t="shared" si="2"/>
        <v>0</v>
      </c>
      <c r="V43" s="2"/>
      <c r="W43" s="79"/>
      <c r="X43" s="53"/>
      <c r="Y43" s="53"/>
      <c r="Z43" s="53"/>
      <c r="AA43" s="53"/>
      <c r="AB43" s="75"/>
    </row>
    <row r="44" spans="2:28" ht="30.75" customHeight="1" thickBot="1" x14ac:dyDescent="0.25">
      <c r="B44" s="68" t="s">
        <v>46</v>
      </c>
      <c r="C44" s="115">
        <v>10934004712</v>
      </c>
      <c r="D44" s="115">
        <v>800000000</v>
      </c>
      <c r="E44" s="125">
        <v>0</v>
      </c>
      <c r="F44" s="87">
        <f t="shared" si="19"/>
        <v>84394854</v>
      </c>
      <c r="G44" s="100">
        <f t="shared" si="14"/>
        <v>84394854</v>
      </c>
      <c r="H44" s="100">
        <f t="shared" si="5"/>
        <v>0</v>
      </c>
      <c r="I44" s="88">
        <f t="shared" si="20"/>
        <v>565395611</v>
      </c>
      <c r="J44" s="100">
        <f t="shared" si="15"/>
        <v>565395611</v>
      </c>
      <c r="K44" s="100">
        <f>I44-J44</f>
        <v>0</v>
      </c>
      <c r="L44" s="88">
        <f>IF(C44="","",R44+D44+S44+T44-U44)</f>
        <v>1698186091</v>
      </c>
      <c r="M44" s="101">
        <f t="shared" si="21"/>
        <v>1698186091</v>
      </c>
      <c r="N44" s="101">
        <f t="shared" si="0"/>
        <v>0</v>
      </c>
      <c r="O44" s="14"/>
      <c r="P44" s="97">
        <f t="shared" si="16"/>
        <v>8586028156</v>
      </c>
      <c r="Q44" s="15"/>
      <c r="R44" s="92">
        <f t="shared" si="17"/>
        <v>198186091</v>
      </c>
      <c r="S44" s="92">
        <f t="shared" si="1"/>
        <v>700000000</v>
      </c>
      <c r="T44" s="88">
        <f t="shared" si="18"/>
        <v>0</v>
      </c>
      <c r="U44" s="97">
        <f t="shared" si="2"/>
        <v>0</v>
      </c>
      <c r="V44" s="2"/>
    </row>
    <row r="45" spans="2:28" ht="30.75" customHeight="1" thickBot="1" x14ac:dyDescent="0.25">
      <c r="B45" s="68" t="s">
        <v>47</v>
      </c>
      <c r="C45" s="115">
        <v>10934004712</v>
      </c>
      <c r="D45" s="115">
        <v>800000000</v>
      </c>
      <c r="E45" s="125">
        <v>0</v>
      </c>
      <c r="F45" s="87">
        <f t="shared" si="19"/>
        <v>84394854</v>
      </c>
      <c r="G45" s="100">
        <f t="shared" si="14"/>
        <v>84394854</v>
      </c>
      <c r="H45" s="100">
        <f t="shared" si="5"/>
        <v>0</v>
      </c>
      <c r="I45" s="88">
        <f t="shared" si="20"/>
        <v>565395611</v>
      </c>
      <c r="J45" s="100">
        <f>MAX(MIN(C45-G45,ROUNDDOWN($P$3/365,0)-G45),0)</f>
        <v>565395611</v>
      </c>
      <c r="K45" s="100">
        <f t="shared" si="8"/>
        <v>0</v>
      </c>
      <c r="L45" s="88">
        <f t="shared" si="22"/>
        <v>1698186091</v>
      </c>
      <c r="M45" s="101">
        <f t="shared" si="21"/>
        <v>1698186091</v>
      </c>
      <c r="N45" s="101">
        <f t="shared" si="0"/>
        <v>0</v>
      </c>
      <c r="O45" s="14"/>
      <c r="P45" s="97">
        <f t="shared" si="16"/>
        <v>8586028156</v>
      </c>
      <c r="Q45" s="15"/>
      <c r="R45" s="92">
        <f t="shared" si="17"/>
        <v>198186091</v>
      </c>
      <c r="S45" s="92">
        <f t="shared" si="1"/>
        <v>700000000</v>
      </c>
      <c r="T45" s="88">
        <f t="shared" si="18"/>
        <v>0</v>
      </c>
      <c r="U45" s="97">
        <f t="shared" si="2"/>
        <v>0</v>
      </c>
      <c r="V45" s="2"/>
    </row>
    <row r="46" spans="2:28" ht="30.75" customHeight="1" thickBot="1" x14ac:dyDescent="0.25">
      <c r="B46" s="69" t="s">
        <v>48</v>
      </c>
      <c r="C46" s="126">
        <v>10754004719</v>
      </c>
      <c r="D46" s="126">
        <v>800000000</v>
      </c>
      <c r="E46" s="125">
        <v>0</v>
      </c>
      <c r="F46" s="87">
        <f>IF(C46="","",$D$4)</f>
        <v>84394854</v>
      </c>
      <c r="G46" s="100">
        <f t="shared" si="14"/>
        <v>84394854</v>
      </c>
      <c r="H46" s="100">
        <f t="shared" si="5"/>
        <v>0</v>
      </c>
      <c r="I46" s="88">
        <f>IF(C46="","",MAX(ROUNDDOWN($P$3/365,0)-$D$4,0))</f>
        <v>565395611</v>
      </c>
      <c r="J46" s="100">
        <f t="shared" si="15"/>
        <v>565395611</v>
      </c>
      <c r="K46" s="100">
        <f t="shared" si="8"/>
        <v>0</v>
      </c>
      <c r="L46" s="88">
        <f t="shared" si="22"/>
        <v>1698186091</v>
      </c>
      <c r="M46" s="101">
        <f>MAX(MIN(C46-G46-J46,R46+D46+S46+T46-U46),0)</f>
        <v>1698186091</v>
      </c>
      <c r="N46" s="101">
        <f t="shared" si="0"/>
        <v>0</v>
      </c>
      <c r="O46" s="14"/>
      <c r="P46" s="97">
        <f t="shared" si="16"/>
        <v>8406028163</v>
      </c>
      <c r="Q46" s="15"/>
      <c r="R46" s="92">
        <f t="shared" si="17"/>
        <v>198186091</v>
      </c>
      <c r="S46" s="92">
        <f t="shared" si="1"/>
        <v>700000000</v>
      </c>
      <c r="T46" s="88">
        <f t="shared" si="18"/>
        <v>0</v>
      </c>
      <c r="U46" s="97">
        <f t="shared" si="2"/>
        <v>0</v>
      </c>
      <c r="V46" s="2"/>
    </row>
    <row r="47" spans="2:28" ht="24" customHeight="1" thickBot="1" x14ac:dyDescent="0.25">
      <c r="B47" s="70"/>
      <c r="C47" s="16"/>
      <c r="D47" s="16"/>
      <c r="E47" s="16"/>
      <c r="F47" s="16"/>
      <c r="G47" s="7"/>
      <c r="H47" s="7"/>
      <c r="I47" s="7"/>
      <c r="J47" s="7"/>
      <c r="K47" s="7"/>
      <c r="L47" s="7"/>
      <c r="M47" s="7"/>
      <c r="N47" s="7"/>
      <c r="O47" s="16"/>
      <c r="P47" s="98"/>
      <c r="Q47" s="16"/>
      <c r="R47" s="7"/>
      <c r="S47" s="7"/>
      <c r="T47" s="7"/>
      <c r="U47" s="98"/>
      <c r="V47" s="2"/>
    </row>
    <row r="48" spans="2:28" ht="30" customHeight="1" thickBot="1" x14ac:dyDescent="0.25">
      <c r="B48" s="71" t="s">
        <v>8</v>
      </c>
      <c r="C48" s="95">
        <f>SUM(C16:C46)</f>
        <v>304954146079</v>
      </c>
      <c r="D48" s="95">
        <f>SUM(D16:D46)</f>
        <v>18600000000</v>
      </c>
      <c r="E48" s="95">
        <f>SUM(E16:E46)</f>
        <v>0</v>
      </c>
      <c r="F48" s="88">
        <f>SUM(F16:F46)</f>
        <v>2616240474</v>
      </c>
      <c r="G48" s="109">
        <f>MIN(C48,$D$4*$D$3)</f>
        <v>2616240474</v>
      </c>
      <c r="H48" s="110">
        <f>F48-G48</f>
        <v>0</v>
      </c>
      <c r="I48" s="103">
        <f>SUM(I16:I46)</f>
        <v>17527263941</v>
      </c>
      <c r="J48" s="108">
        <f>MAX(MIN(C48-G48,ROUNDDOWN($P$3*$D$3/365,0)-G48),0)</f>
        <v>17527263953</v>
      </c>
      <c r="K48" s="105">
        <f>I48-J48</f>
        <v>-12</v>
      </c>
      <c r="L48" s="103">
        <f>SUM(L16:L46)</f>
        <v>40243768821</v>
      </c>
      <c r="M48" s="104">
        <f>MAX(MIN(C48-G48-J48,ROUNDDOWN(ROUNDDOWN($P$3*$D$3/365,0)*$D$5/100,0)+IFERROR(ROUNDDOWN(ROUNDDOWN($T$8*$D$3/$T$9,0)*$D$5/100,0),0)+$D$48+ROUNDDOWN(MAX($D$48-$E$48-$P$4*$D$3,0)*$D$6/100,0)+$T$4+$T$6*$D$3-IF($AA$4="○",ROUNDDOWN((ROUNDDOWN(ROUNDDOWN($P$3*$D$3/365,0)*$D$5/100,0)+IFERROR(ROUNDDOWN(ROUNDDOWN($T$8*$D$3/$T$9,0)*$D$5/100,0),0)+$D$48+ROUNDDOWN(MAX($D$48-$E$48-$P$4*$D$3,0)*$D$6/100,0)+$T$4+$T$6*$D$3)*25/100,0),0)-AA6))</f>
        <v>40243768850</v>
      </c>
      <c r="N48" s="105">
        <f>L48-M48</f>
        <v>-29</v>
      </c>
      <c r="O48" s="17"/>
      <c r="P48" s="99">
        <f>SUM(P16:P46)</f>
        <v>244566872843</v>
      </c>
      <c r="Q48" s="16"/>
      <c r="R48" s="96">
        <f>SUM(R16:R46)</f>
        <v>6143768821</v>
      </c>
      <c r="S48" s="95">
        <f>SUM(S16:S46)</f>
        <v>15500000000</v>
      </c>
      <c r="T48" s="95">
        <f>SUM(T16:T46)</f>
        <v>0</v>
      </c>
      <c r="U48" s="99">
        <f>SUM(U16:U46)</f>
        <v>0</v>
      </c>
      <c r="V48" s="2"/>
    </row>
    <row r="49" spans="3:28" ht="29.25" customHeight="1" x14ac:dyDescent="0.2">
      <c r="D49" s="3"/>
      <c r="E49" s="3"/>
      <c r="F49" s="3"/>
      <c r="G49" s="102"/>
      <c r="H49" s="3"/>
      <c r="I49" s="3"/>
      <c r="J49" s="3"/>
      <c r="K49" s="3"/>
      <c r="L49" s="3"/>
      <c r="M49" s="3"/>
      <c r="N49" s="3"/>
      <c r="O49" s="18"/>
      <c r="P49" s="3"/>
      <c r="Q49" s="18"/>
      <c r="R49" s="3"/>
      <c r="S49" s="3"/>
      <c r="T49" s="3"/>
      <c r="U49" s="3"/>
      <c r="V49" s="2"/>
      <c r="W49" s="2"/>
    </row>
    <row r="50" spans="3:28" ht="22" customHeight="1" x14ac:dyDescent="0.2">
      <c r="C50" s="1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W50" s="2"/>
    </row>
    <row r="51" spans="3:28" ht="22" customHeight="1" x14ac:dyDescent="0.2">
      <c r="C51" s="1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AB51" s="1"/>
    </row>
    <row r="52" spans="3:28" ht="22" customHeight="1" x14ac:dyDescent="0.2">
      <c r="AB52" s="1"/>
    </row>
    <row r="53" spans="3:28" ht="22" customHeight="1" x14ac:dyDescent="0.2">
      <c r="AB53" s="1"/>
    </row>
    <row r="54" spans="3:28" ht="22" customHeight="1" x14ac:dyDescent="0.2">
      <c r="AB54" s="1"/>
    </row>
    <row r="55" spans="3:28" ht="22" customHeight="1" x14ac:dyDescent="0.2">
      <c r="AB55" s="1"/>
    </row>
    <row r="56" spans="3:28" ht="22" customHeight="1" x14ac:dyDescent="0.2">
      <c r="AB56" s="1"/>
    </row>
    <row r="57" spans="3:28" ht="22" customHeight="1" x14ac:dyDescent="0.2">
      <c r="AB57" s="1"/>
    </row>
    <row r="58" spans="3:28" ht="22" customHeight="1" x14ac:dyDescent="0.2">
      <c r="AB58" s="1"/>
    </row>
    <row r="59" spans="3:28" ht="22" customHeight="1" x14ac:dyDescent="0.2">
      <c r="AB59" s="1"/>
    </row>
  </sheetData>
  <sheetProtection algorithmName="SHA-512" hashValue="jmXe8lGgRLt4q8JPTHb5A8ARJ9d+VI57vOX1Qn8mJ2CNNkYnxzHOn37bWkMnRX0OQqd0lFAftq4aXNNwobbvtw==" saltValue="AEw6qNxavW5Cl9r4k8XmUQ==" spinCount="100000" sheet="1" objects="1" scenarios="1"/>
  <mergeCells count="43">
    <mergeCell ref="M14:M15"/>
    <mergeCell ref="A1:AB1"/>
    <mergeCell ref="X12:AA13"/>
    <mergeCell ref="B13:B15"/>
    <mergeCell ref="C13:C15"/>
    <mergeCell ref="D13:D15"/>
    <mergeCell ref="F13:F15"/>
    <mergeCell ref="I13:I15"/>
    <mergeCell ref="L13:L15"/>
    <mergeCell ref="P13:P15"/>
    <mergeCell ref="R13:U13"/>
    <mergeCell ref="E14:E15"/>
    <mergeCell ref="G14:G15"/>
    <mergeCell ref="H14:H15"/>
    <mergeCell ref="J14:J15"/>
    <mergeCell ref="K14:K15"/>
    <mergeCell ref="Y20:Z21"/>
    <mergeCell ref="AA20:AA21"/>
    <mergeCell ref="N14:N15"/>
    <mergeCell ref="R14:R15"/>
    <mergeCell ref="S14:S15"/>
    <mergeCell ref="T14:T15"/>
    <mergeCell ref="U14:U15"/>
    <mergeCell ref="X14:Z15"/>
    <mergeCell ref="AA14:AA15"/>
    <mergeCell ref="Y16:Z17"/>
    <mergeCell ref="AA16:AA17"/>
    <mergeCell ref="Y18:Z19"/>
    <mergeCell ref="AA18:AA19"/>
    <mergeCell ref="Y22:Z23"/>
    <mergeCell ref="AA22:AA23"/>
    <mergeCell ref="X27:AA28"/>
    <mergeCell ref="X29:Y31"/>
    <mergeCell ref="Z29:Z30"/>
    <mergeCell ref="AA29:AA30"/>
    <mergeCell ref="X38:Z39"/>
    <mergeCell ref="AA38:AA39"/>
    <mergeCell ref="X32:Y34"/>
    <mergeCell ref="Z32:Z33"/>
    <mergeCell ref="AA32:AA33"/>
    <mergeCell ref="X35:Y37"/>
    <mergeCell ref="Z35:Z36"/>
    <mergeCell ref="AA35:AA36"/>
  </mergeCells>
  <phoneticPr fontId="1"/>
  <dataValidations count="5">
    <dataValidation type="custom" allowBlank="1" showInputMessage="1" showErrorMessage="1" sqref="D5:D6">
      <formula1>AND(0&lt;=D5,D5&lt;=100,ROUNDDOWN(D5,1)=D5)</formula1>
    </dataValidation>
    <dataValidation type="whole" allowBlank="1" showInputMessage="1" showErrorMessage="1" sqref="T9">
      <formula1>1</formula1>
      <formula2>366</formula2>
    </dataValidation>
    <dataValidation type="whole" allowBlank="1" showInputMessage="1" showErrorMessage="1" sqref="T10 D3">
      <formula1>1</formula1>
      <formula2>31</formula2>
    </dataValidation>
    <dataValidation type="whole" operator="greaterThanOrEqual" allowBlank="1" showInputMessage="1" showErrorMessage="1" sqref="D4 P3:P4 AA6 T4 T6 T8 C16:E46">
      <formula1>0</formula1>
    </dataValidation>
    <dataValidation type="list" allowBlank="1" showInputMessage="1" showErrorMessage="1" sqref="AA4">
      <formula1>"○"</formula1>
    </dataValidation>
  </dataValidations>
  <pageMargins left="0.19685039370078741" right="0.23622047244094491" top="0.15748031496062992" bottom="0.19685039370078741" header="0.31496062992125984" footer="0.19685039370078741"/>
  <pageSetup paperSize="8" scale="58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AD59"/>
  <sheetViews>
    <sheetView view="pageBreakPreview" zoomScale="55" zoomScaleNormal="90" zoomScaleSheetLayoutView="55" workbookViewId="0">
      <selection sqref="A1:AB1"/>
    </sheetView>
  </sheetViews>
  <sheetFormatPr defaultColWidth="9" defaultRowHeight="22" customHeight="1" x14ac:dyDescent="0.2"/>
  <cols>
    <col min="1" max="1" width="1.5" style="1" customWidth="1"/>
    <col min="2" max="2" width="8" style="1" customWidth="1"/>
    <col min="3" max="3" width="23.5" style="1" customWidth="1"/>
    <col min="4" max="4" width="23.58203125" style="1" customWidth="1"/>
    <col min="5" max="5" width="23.58203125" style="1" hidden="1" customWidth="1"/>
    <col min="6" max="6" width="23.58203125" style="1" customWidth="1"/>
    <col min="7" max="8" width="17.58203125" style="1" hidden="1" customWidth="1"/>
    <col min="9" max="9" width="23.58203125" style="1" customWidth="1"/>
    <col min="10" max="10" width="17.33203125" style="1" hidden="1" customWidth="1"/>
    <col min="11" max="11" width="17.58203125" style="1" hidden="1" customWidth="1"/>
    <col min="12" max="12" width="23.58203125" style="1" customWidth="1"/>
    <col min="13" max="14" width="17.33203125" style="1" hidden="1" customWidth="1"/>
    <col min="15" max="15" width="3.58203125" style="4" customWidth="1"/>
    <col min="16" max="16" width="23.58203125" style="1" customWidth="1"/>
    <col min="17" max="17" width="3.58203125" style="4" customWidth="1"/>
    <col min="18" max="21" width="23.58203125" style="1" customWidth="1"/>
    <col min="22" max="22" width="1.33203125" style="1" customWidth="1"/>
    <col min="23" max="23" width="3.75" style="1" customWidth="1"/>
    <col min="24" max="24" width="1.58203125" style="1" customWidth="1"/>
    <col min="25" max="25" width="12.75" style="1" customWidth="1"/>
    <col min="26" max="26" width="25" style="1" customWidth="1"/>
    <col min="27" max="27" width="23.75" style="1" customWidth="1"/>
    <col min="28" max="28" width="3.75" style="9" customWidth="1"/>
    <col min="29" max="29" width="4.33203125" style="1" customWidth="1"/>
    <col min="30" max="16384" width="9" style="1"/>
  </cols>
  <sheetData>
    <row r="1" spans="1:29" s="30" customFormat="1" ht="75" customHeight="1" x14ac:dyDescent="0.2">
      <c r="A1" s="185" t="s">
        <v>108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29" s="30" customFormat="1" ht="33" thickBot="1" x14ac:dyDescent="0.25">
      <c r="A2" s="34"/>
      <c r="B2" s="61" t="s">
        <v>89</v>
      </c>
      <c r="C2" s="58"/>
      <c r="D2" s="36"/>
      <c r="E2" s="36"/>
      <c r="F2" s="36"/>
      <c r="G2" s="34"/>
      <c r="H2" s="34"/>
      <c r="I2" s="62" t="s">
        <v>90</v>
      </c>
      <c r="J2" s="37"/>
      <c r="K2" s="37"/>
      <c r="L2" s="37"/>
      <c r="M2" s="37"/>
      <c r="N2" s="37"/>
      <c r="O2" s="37"/>
      <c r="P2" s="37"/>
      <c r="Q2" s="37"/>
      <c r="R2" s="63" t="s">
        <v>93</v>
      </c>
      <c r="S2" s="39"/>
      <c r="T2" s="40"/>
      <c r="U2" s="40"/>
      <c r="V2" s="40"/>
      <c r="W2" s="40"/>
      <c r="X2" s="40"/>
      <c r="Y2" s="40"/>
      <c r="Z2" s="40"/>
      <c r="AA2" s="40"/>
      <c r="AB2" s="40"/>
      <c r="AC2" s="76"/>
    </row>
    <row r="3" spans="1:29" ht="20.5" thickBot="1" x14ac:dyDescent="0.25">
      <c r="B3" s="60" t="s">
        <v>14</v>
      </c>
      <c r="D3" s="112">
        <v>31</v>
      </c>
      <c r="E3" s="31"/>
      <c r="F3" s="31" t="s">
        <v>104</v>
      </c>
      <c r="I3" s="60" t="s">
        <v>91</v>
      </c>
      <c r="J3" s="106"/>
      <c r="K3" s="106"/>
      <c r="O3" s="113"/>
      <c r="P3" s="114">
        <v>22173519873</v>
      </c>
      <c r="Q3" s="32" t="s">
        <v>6</v>
      </c>
      <c r="R3" s="65" t="s">
        <v>54</v>
      </c>
      <c r="S3" s="35"/>
      <c r="T3" s="38"/>
      <c r="V3" s="67" t="s">
        <v>72</v>
      </c>
      <c r="W3" s="67"/>
      <c r="X3" s="67"/>
      <c r="Y3" s="67"/>
      <c r="Z3" s="67"/>
      <c r="AC3" s="8"/>
    </row>
    <row r="4" spans="1:29" ht="20.5" thickBot="1" x14ac:dyDescent="0.25">
      <c r="B4" s="60" t="s">
        <v>15</v>
      </c>
      <c r="D4" s="115">
        <v>4394854</v>
      </c>
      <c r="E4" s="31"/>
      <c r="F4" s="31" t="s">
        <v>105</v>
      </c>
      <c r="I4" s="59" t="s">
        <v>92</v>
      </c>
      <c r="J4" s="106"/>
      <c r="K4" s="106"/>
      <c r="O4" s="113"/>
      <c r="P4" s="116">
        <v>100000000</v>
      </c>
      <c r="Q4" s="32" t="s">
        <v>6</v>
      </c>
      <c r="R4" s="66" t="s">
        <v>94</v>
      </c>
      <c r="S4" s="41"/>
      <c r="T4" s="117"/>
      <c r="U4" s="33" t="s">
        <v>6</v>
      </c>
      <c r="V4" s="66" t="s">
        <v>99</v>
      </c>
      <c r="W4" s="67"/>
      <c r="X4" s="67"/>
      <c r="Y4" s="67"/>
      <c r="Z4" s="67"/>
      <c r="AA4" s="118"/>
      <c r="AB4" s="33"/>
      <c r="AC4" s="4"/>
    </row>
    <row r="5" spans="1:29" ht="20.5" thickBot="1" x14ac:dyDescent="0.25">
      <c r="B5" s="60" t="s">
        <v>16</v>
      </c>
      <c r="D5" s="119">
        <v>30.5</v>
      </c>
      <c r="E5" s="31"/>
      <c r="F5" s="31" t="s">
        <v>106</v>
      </c>
      <c r="I5" s="27"/>
      <c r="J5" s="26"/>
      <c r="K5" s="26"/>
      <c r="L5" s="28"/>
      <c r="M5" s="26"/>
      <c r="N5" s="26"/>
      <c r="O5" s="11"/>
      <c r="R5" s="66" t="s">
        <v>49</v>
      </c>
      <c r="S5" s="41"/>
      <c r="T5" s="23"/>
      <c r="V5" s="67" t="s">
        <v>73</v>
      </c>
      <c r="W5" s="9"/>
      <c r="X5" s="9"/>
      <c r="Y5" s="9"/>
      <c r="Z5" s="9"/>
      <c r="AA5" s="9"/>
      <c r="AC5" s="4"/>
    </row>
    <row r="6" spans="1:29" ht="20.5" thickBot="1" x14ac:dyDescent="0.25">
      <c r="B6" s="64" t="s">
        <v>17</v>
      </c>
      <c r="D6" s="120">
        <v>100</v>
      </c>
      <c r="E6" s="31"/>
      <c r="F6" s="31" t="s">
        <v>106</v>
      </c>
      <c r="G6" s="26"/>
      <c r="H6" s="26"/>
      <c r="I6" s="27"/>
      <c r="J6" s="26"/>
      <c r="K6" s="26"/>
      <c r="L6" s="28"/>
      <c r="M6" s="26"/>
      <c r="N6" s="26"/>
      <c r="O6" s="11"/>
      <c r="R6" s="66" t="s">
        <v>95</v>
      </c>
      <c r="S6" s="41"/>
      <c r="T6" s="117"/>
      <c r="U6" s="33" t="s">
        <v>6</v>
      </c>
      <c r="V6" s="66" t="s">
        <v>100</v>
      </c>
      <c r="W6" s="67"/>
      <c r="X6" s="67"/>
      <c r="Y6" s="67"/>
      <c r="Z6" s="67"/>
      <c r="AA6" s="117"/>
      <c r="AB6" s="33" t="s">
        <v>6</v>
      </c>
      <c r="AC6" s="4"/>
    </row>
    <row r="7" spans="1:29" s="9" customFormat="1" ht="29.25" customHeight="1" thickBot="1" x14ac:dyDescent="0.25">
      <c r="B7" s="64"/>
      <c r="D7" s="121"/>
      <c r="E7" s="121"/>
      <c r="F7" s="33"/>
      <c r="G7" s="26"/>
      <c r="H7" s="26"/>
      <c r="I7" s="27"/>
      <c r="J7" s="26"/>
      <c r="K7" s="26"/>
      <c r="L7" s="28"/>
      <c r="M7" s="26"/>
      <c r="N7" s="26"/>
      <c r="O7" s="11"/>
      <c r="Q7" s="4"/>
      <c r="R7" s="67" t="s">
        <v>50</v>
      </c>
      <c r="S7" s="67"/>
      <c r="T7" s="67"/>
      <c r="U7" s="67"/>
    </row>
    <row r="8" spans="1:29" s="9" customFormat="1" ht="29.25" customHeight="1" x14ac:dyDescent="0.2">
      <c r="B8" s="64"/>
      <c r="D8" s="121"/>
      <c r="E8" s="121"/>
      <c r="F8" s="33"/>
      <c r="G8" s="26"/>
      <c r="H8" s="26"/>
      <c r="I8" s="27"/>
      <c r="J8" s="26"/>
      <c r="K8" s="26"/>
      <c r="L8" s="28"/>
      <c r="M8" s="26"/>
      <c r="N8" s="26"/>
      <c r="O8" s="11"/>
      <c r="Q8" s="4"/>
      <c r="R8" s="66" t="s">
        <v>96</v>
      </c>
      <c r="S8" s="67"/>
      <c r="T8" s="122"/>
      <c r="U8" s="33" t="s">
        <v>6</v>
      </c>
    </row>
    <row r="9" spans="1:29" s="9" customFormat="1" ht="29.25" customHeight="1" thickBot="1" x14ac:dyDescent="0.25">
      <c r="B9" s="64"/>
      <c r="D9" s="121"/>
      <c r="E9" s="121"/>
      <c r="F9" s="33"/>
      <c r="G9" s="26"/>
      <c r="H9" s="26"/>
      <c r="I9" s="27"/>
      <c r="J9" s="26"/>
      <c r="K9" s="26"/>
      <c r="L9" s="28"/>
      <c r="M9" s="26"/>
      <c r="N9" s="26"/>
      <c r="O9" s="11"/>
      <c r="Q9" s="4"/>
      <c r="R9" s="66" t="s">
        <v>97</v>
      </c>
      <c r="S9" s="67"/>
      <c r="T9" s="123"/>
      <c r="U9" s="33" t="s">
        <v>12</v>
      </c>
    </row>
    <row r="10" spans="1:29" s="9" customFormat="1" ht="0.75" customHeight="1" x14ac:dyDescent="0.2">
      <c r="B10" s="64"/>
      <c r="D10" s="121"/>
      <c r="E10" s="121"/>
      <c r="F10" s="33"/>
      <c r="G10" s="26"/>
      <c r="H10" s="26"/>
      <c r="I10" s="27"/>
      <c r="J10" s="26"/>
      <c r="K10" s="26"/>
      <c r="L10" s="28"/>
      <c r="M10" s="26"/>
      <c r="N10" s="26"/>
      <c r="O10" s="11"/>
      <c r="Q10" s="4"/>
      <c r="R10" s="66"/>
      <c r="S10" s="67"/>
      <c r="T10" s="124"/>
      <c r="U10" s="33"/>
    </row>
    <row r="11" spans="1:29" s="9" customFormat="1" ht="29.25" customHeight="1" thickBot="1" x14ac:dyDescent="0.25">
      <c r="B11" s="64"/>
      <c r="D11" s="121"/>
      <c r="E11" s="121"/>
      <c r="F11" s="33"/>
      <c r="G11" s="26"/>
      <c r="H11" s="26"/>
      <c r="I11" s="27"/>
      <c r="J11" s="26"/>
      <c r="K11" s="26"/>
      <c r="L11" s="28"/>
      <c r="M11" s="26"/>
      <c r="N11" s="26"/>
      <c r="O11" s="11"/>
      <c r="Q11" s="4"/>
      <c r="V11" s="67"/>
      <c r="AC11" s="4"/>
    </row>
    <row r="12" spans="1:29" ht="24" customHeight="1" x14ac:dyDescent="0.2">
      <c r="C12" s="20"/>
      <c r="D12" s="22"/>
      <c r="E12" s="22"/>
      <c r="F12" s="21"/>
      <c r="G12" s="21"/>
      <c r="H12" s="21"/>
      <c r="I12" s="20"/>
      <c r="J12" s="19"/>
      <c r="K12" s="19"/>
      <c r="L12" s="21"/>
      <c r="M12" s="21"/>
      <c r="N12" s="21"/>
      <c r="O12" s="5"/>
      <c r="P12" s="20"/>
      <c r="Q12" s="5"/>
      <c r="U12" s="54" t="s">
        <v>7</v>
      </c>
      <c r="W12" s="44"/>
      <c r="X12" s="164" t="s">
        <v>56</v>
      </c>
      <c r="Y12" s="164"/>
      <c r="Z12" s="164"/>
      <c r="AA12" s="164"/>
      <c r="AB12" s="45"/>
      <c r="AC12" s="8"/>
    </row>
    <row r="13" spans="1:29" ht="29.25" customHeight="1" thickBot="1" x14ac:dyDescent="0.25">
      <c r="B13" s="186" t="s">
        <v>2</v>
      </c>
      <c r="C13" s="187" t="s">
        <v>71</v>
      </c>
      <c r="D13" s="190" t="s">
        <v>81</v>
      </c>
      <c r="E13" s="111" t="s">
        <v>83</v>
      </c>
      <c r="F13" s="190" t="s">
        <v>70</v>
      </c>
      <c r="G13" s="42"/>
      <c r="H13" s="43"/>
      <c r="I13" s="193" t="s">
        <v>69</v>
      </c>
      <c r="J13" s="42"/>
      <c r="K13" s="43"/>
      <c r="L13" s="196" t="s">
        <v>68</v>
      </c>
      <c r="M13" s="42"/>
      <c r="N13" s="43"/>
      <c r="O13" s="12"/>
      <c r="P13" s="196" t="s">
        <v>79</v>
      </c>
      <c r="Q13" s="6"/>
      <c r="R13" s="198" t="s">
        <v>78</v>
      </c>
      <c r="S13" s="199"/>
      <c r="T13" s="199"/>
      <c r="U13" s="200"/>
      <c r="W13" s="57"/>
      <c r="X13" s="165"/>
      <c r="Y13" s="165"/>
      <c r="Z13" s="165"/>
      <c r="AA13" s="165"/>
      <c r="AB13" s="47"/>
      <c r="AC13" s="8"/>
    </row>
    <row r="14" spans="1:29" ht="29.25" customHeight="1" x14ac:dyDescent="0.2">
      <c r="B14" s="186"/>
      <c r="C14" s="188"/>
      <c r="D14" s="191"/>
      <c r="E14" s="201" t="s">
        <v>87</v>
      </c>
      <c r="F14" s="191"/>
      <c r="G14" s="172" t="s">
        <v>3</v>
      </c>
      <c r="H14" s="172" t="s">
        <v>9</v>
      </c>
      <c r="I14" s="194"/>
      <c r="J14" s="172" t="s">
        <v>4</v>
      </c>
      <c r="K14" s="172" t="s">
        <v>9</v>
      </c>
      <c r="L14" s="197"/>
      <c r="M14" s="183" t="s">
        <v>5</v>
      </c>
      <c r="N14" s="172" t="s">
        <v>9</v>
      </c>
      <c r="O14" s="10"/>
      <c r="P14" s="196"/>
      <c r="Q14" s="29"/>
      <c r="R14" s="174" t="s">
        <v>51</v>
      </c>
      <c r="S14" s="176" t="s">
        <v>98</v>
      </c>
      <c r="T14" s="176" t="s">
        <v>55</v>
      </c>
      <c r="U14" s="176" t="s">
        <v>77</v>
      </c>
      <c r="W14" s="46"/>
      <c r="X14" s="179" t="s">
        <v>67</v>
      </c>
      <c r="Y14" s="180"/>
      <c r="Z14" s="180"/>
      <c r="AA14" s="170">
        <f>$C$48</f>
        <v>16394098952</v>
      </c>
      <c r="AB14" s="47"/>
    </row>
    <row r="15" spans="1:29" ht="30" customHeight="1" thickBot="1" x14ac:dyDescent="0.25">
      <c r="B15" s="186"/>
      <c r="C15" s="189"/>
      <c r="D15" s="192"/>
      <c r="E15" s="202"/>
      <c r="F15" s="192"/>
      <c r="G15" s="173"/>
      <c r="H15" s="173"/>
      <c r="I15" s="195"/>
      <c r="J15" s="173"/>
      <c r="K15" s="173"/>
      <c r="L15" s="197"/>
      <c r="M15" s="184"/>
      <c r="N15" s="173"/>
      <c r="O15" s="10"/>
      <c r="P15" s="196"/>
      <c r="Q15" s="29"/>
      <c r="R15" s="175"/>
      <c r="S15" s="177"/>
      <c r="T15" s="178"/>
      <c r="U15" s="178"/>
      <c r="W15" s="46"/>
      <c r="X15" s="181"/>
      <c r="Y15" s="182"/>
      <c r="Z15" s="182"/>
      <c r="AA15" s="171"/>
      <c r="AB15" s="47"/>
    </row>
    <row r="16" spans="1:29" ht="30.75" customHeight="1" x14ac:dyDescent="0.2">
      <c r="B16" s="68" t="s">
        <v>19</v>
      </c>
      <c r="C16" s="125">
        <v>934004712</v>
      </c>
      <c r="D16" s="125">
        <v>400000000</v>
      </c>
      <c r="E16" s="125">
        <v>0</v>
      </c>
      <c r="F16" s="87">
        <f>IF(C16="","",$D$4)</f>
        <v>4394854</v>
      </c>
      <c r="G16" s="100">
        <f>MIN(C16,$D$4)</f>
        <v>4394854</v>
      </c>
      <c r="H16" s="100">
        <f>F16-G16</f>
        <v>0</v>
      </c>
      <c r="I16" s="88">
        <f>IF(C16="","",MAX(ROUNDDOWN($P$3/365,0)-$D$4,0))</f>
        <v>56354515</v>
      </c>
      <c r="J16" s="100">
        <f>MAX(MIN(C16-G16,ROUNDDOWN($P$3/365,0)-G16),0)</f>
        <v>56354515</v>
      </c>
      <c r="K16" s="100">
        <f>I16-J16</f>
        <v>0</v>
      </c>
      <c r="L16" s="88">
        <f>IF(C16="","",$R16+$D16+$S16+$T16-$U16)</f>
        <v>718528557</v>
      </c>
      <c r="M16" s="101">
        <f>MAX(MIN(C16-G16-J16,R16+D16+S16+T16-U16),0)</f>
        <v>718528557</v>
      </c>
      <c r="N16" s="101">
        <f>L16-M16</f>
        <v>0</v>
      </c>
      <c r="O16" s="14"/>
      <c r="P16" s="97">
        <f>IF(C16="","",MAX(C16-(F16+I16+L16),0))</f>
        <v>154726786</v>
      </c>
      <c r="Q16" s="15"/>
      <c r="R16" s="92">
        <f>IF(C16="","",ROUNDDOWN(ROUNDDOWN($P$3/365,0)*$D$5/100,0)+IFERROR(ROUNDDOWN(ROUNDDOWN(T$8/T$9,0)*$D$5/100,0),0))</f>
        <v>18528557</v>
      </c>
      <c r="S16" s="92">
        <f>IF(C16="","",ROUNDDOWN((MAX(D16-E16-$P$4,0)*$D$6/100),0))</f>
        <v>300000000</v>
      </c>
      <c r="T16" s="88">
        <f>IF(C16="","",ROUNDDOWN($T$4/$D$3,0)+$T$6)</f>
        <v>0</v>
      </c>
      <c r="U16" s="97">
        <f>IF(C16="","",IF($AA$4="○",ROUNDDOWN((R16+D16+S16+T16)*25/100,0)+ROUNDDOWN(AA$6/$D$3,0),ROUNDDOWN(AA$6/$D$3,0)))</f>
        <v>0</v>
      </c>
      <c r="V16" s="2"/>
      <c r="W16" s="46"/>
      <c r="X16" s="72"/>
      <c r="Y16" s="166" t="s">
        <v>74</v>
      </c>
      <c r="Z16" s="167"/>
      <c r="AA16" s="170">
        <f>$G$48</f>
        <v>136240474</v>
      </c>
      <c r="AB16" s="47"/>
    </row>
    <row r="17" spans="2:30" ht="30.75" customHeight="1" thickBot="1" x14ac:dyDescent="0.25">
      <c r="B17" s="68" t="s">
        <v>20</v>
      </c>
      <c r="C17" s="115">
        <v>934004712</v>
      </c>
      <c r="D17" s="115">
        <v>400000000</v>
      </c>
      <c r="E17" s="115">
        <v>0</v>
      </c>
      <c r="F17" s="87">
        <f>IF(C17="","",$D$4)</f>
        <v>4394854</v>
      </c>
      <c r="G17" s="100">
        <f>MIN(C17,$D$4)</f>
        <v>4394854</v>
      </c>
      <c r="H17" s="100">
        <f>F17-G17</f>
        <v>0</v>
      </c>
      <c r="I17" s="88">
        <f>IF(C17="","",MAX(ROUNDDOWN($P$3/365,0)-$D$4,0))</f>
        <v>56354515</v>
      </c>
      <c r="J17" s="100">
        <f>MAX(MIN(C17-G17,ROUNDDOWN($P$3/365,0)-G17),0)</f>
        <v>56354515</v>
      </c>
      <c r="K17" s="100">
        <f>I17-J17</f>
        <v>0</v>
      </c>
      <c r="L17" s="88">
        <f>IF(C17="","",R17+D17+S17+T17-U17)</f>
        <v>718528557</v>
      </c>
      <c r="M17" s="101">
        <f>MAX(MIN(C17-G17-J17,R17+D17+S17+T17-U17),0)</f>
        <v>718528557</v>
      </c>
      <c r="N17" s="101">
        <f t="shared" ref="N17:N46" si="0">L17-M17</f>
        <v>0</v>
      </c>
      <c r="O17" s="14"/>
      <c r="P17" s="97">
        <f>IF(C17="","",MAX(C17-(F17+I17+L17),0))</f>
        <v>154726786</v>
      </c>
      <c r="Q17" s="15"/>
      <c r="R17" s="92">
        <f>IF(C17="","",ROUNDDOWN(ROUNDDOWN($P$3/365,0)*$D$5/100,0)+IFERROR(ROUNDDOWN(ROUNDDOWN(T$8/T$9,0)*$D$5/100,0),0))</f>
        <v>18528557</v>
      </c>
      <c r="S17" s="92">
        <f t="shared" ref="S17:S46" si="1">IF(C17="","",ROUNDDOWN((MAX(D17-E17-$P$4,0)*$D$6/100),0))</f>
        <v>300000000</v>
      </c>
      <c r="T17" s="88">
        <f>IF(C17="","",ROUNDDOWN($T$4/$D$3,0)+$T$6)</f>
        <v>0</v>
      </c>
      <c r="U17" s="97">
        <f t="shared" ref="U17:U46" si="2">IF(C17="","",IF($AA$4="○",ROUNDDOWN((R17+D17+S17+T17)*25/100,0)+ROUNDDOWN(AA$6/$D$3,0),ROUNDDOWN(AA$6/$D$3,0)))</f>
        <v>0</v>
      </c>
      <c r="V17" s="2"/>
      <c r="W17" s="46"/>
      <c r="X17" s="72"/>
      <c r="Y17" s="168"/>
      <c r="Z17" s="169"/>
      <c r="AA17" s="171"/>
      <c r="AB17" s="47"/>
    </row>
    <row r="18" spans="2:30" ht="30.75" customHeight="1" x14ac:dyDescent="0.2">
      <c r="B18" s="68" t="s">
        <v>21</v>
      </c>
      <c r="C18" s="115">
        <v>934004712</v>
      </c>
      <c r="D18" s="115">
        <v>400000000</v>
      </c>
      <c r="E18" s="115">
        <v>0</v>
      </c>
      <c r="F18" s="87">
        <f t="shared" ref="F18:F27" si="3">IF(C18="","",$D$4)</f>
        <v>4394854</v>
      </c>
      <c r="G18" s="100">
        <f t="shared" ref="G18:G28" si="4">MIN(C18,$D$4)</f>
        <v>4394854</v>
      </c>
      <c r="H18" s="100">
        <f t="shared" ref="H18:H46" si="5">F18-G18</f>
        <v>0</v>
      </c>
      <c r="I18" s="88">
        <f t="shared" ref="I18:I28" si="6">IF(C18="","",MAX(ROUNDDOWN($P$3/365,0)-$D$4,0))</f>
        <v>56354515</v>
      </c>
      <c r="J18" s="100">
        <f t="shared" ref="J18:J28" si="7">MAX(MIN(C18-G18,ROUNDDOWN($P$3/365,0)-G18),0)</f>
        <v>56354515</v>
      </c>
      <c r="K18" s="100">
        <f t="shared" ref="K18:K46" si="8">I18-J18</f>
        <v>0</v>
      </c>
      <c r="L18" s="88">
        <f t="shared" ref="L18:L28" si="9">IF(C18="","",R18+D18+S18+T18-U18)</f>
        <v>718528557</v>
      </c>
      <c r="M18" s="101">
        <f>MAX(MIN(C18-G18-J18,R18+D18+S18+T18-U18),0)</f>
        <v>718528557</v>
      </c>
      <c r="N18" s="101">
        <f t="shared" si="0"/>
        <v>0</v>
      </c>
      <c r="O18" s="14"/>
      <c r="P18" s="97">
        <f t="shared" ref="P18:P28" si="10">IF(C18="","",MAX(C18-(F18+I18+L18),0))</f>
        <v>154726786</v>
      </c>
      <c r="Q18" s="15"/>
      <c r="R18" s="92">
        <f t="shared" ref="R18:R28" si="11">IF(C18="","",ROUNDDOWN(ROUNDDOWN($P$3/365,0)*$D$5/100,0)+IFERROR(ROUNDDOWN(ROUNDDOWN(T$8/T$9,0)*$D$5/100,0),0))</f>
        <v>18528557</v>
      </c>
      <c r="S18" s="92">
        <f t="shared" si="1"/>
        <v>300000000</v>
      </c>
      <c r="T18" s="88">
        <f t="shared" ref="T18:T28" si="12">IF(C18="","",ROUNDDOWN($T$4/$D$3,0)+$T$6)</f>
        <v>0</v>
      </c>
      <c r="U18" s="97">
        <f t="shared" si="2"/>
        <v>0</v>
      </c>
      <c r="V18" s="2"/>
      <c r="W18" s="46"/>
      <c r="X18" s="72"/>
      <c r="Y18" s="166" t="s">
        <v>59</v>
      </c>
      <c r="Z18" s="167"/>
      <c r="AA18" s="170">
        <f>$J$48</f>
        <v>1746989980</v>
      </c>
      <c r="AB18" s="47"/>
    </row>
    <row r="19" spans="2:30" ht="30.75" customHeight="1" thickBot="1" x14ac:dyDescent="0.25">
      <c r="B19" s="68" t="s">
        <v>22</v>
      </c>
      <c r="C19" s="115">
        <v>934004712</v>
      </c>
      <c r="D19" s="115">
        <v>400000000</v>
      </c>
      <c r="E19" s="115">
        <v>0</v>
      </c>
      <c r="F19" s="87">
        <f t="shared" si="3"/>
        <v>4394854</v>
      </c>
      <c r="G19" s="100">
        <f t="shared" si="4"/>
        <v>4394854</v>
      </c>
      <c r="H19" s="100">
        <f t="shared" si="5"/>
        <v>0</v>
      </c>
      <c r="I19" s="88">
        <f t="shared" si="6"/>
        <v>56354515</v>
      </c>
      <c r="J19" s="100">
        <f t="shared" si="7"/>
        <v>56354515</v>
      </c>
      <c r="K19" s="100">
        <f t="shared" si="8"/>
        <v>0</v>
      </c>
      <c r="L19" s="88">
        <f t="shared" si="9"/>
        <v>718528557</v>
      </c>
      <c r="M19" s="101">
        <f>MAX(MIN(C19-G19-J19,R19+D19+S19+T19-U19),0)</f>
        <v>718528557</v>
      </c>
      <c r="N19" s="101">
        <f t="shared" si="0"/>
        <v>0</v>
      </c>
      <c r="O19" s="14"/>
      <c r="P19" s="97">
        <f t="shared" si="10"/>
        <v>154726786</v>
      </c>
      <c r="Q19" s="15"/>
      <c r="R19" s="92">
        <f t="shared" si="11"/>
        <v>18528557</v>
      </c>
      <c r="S19" s="92">
        <f t="shared" si="1"/>
        <v>300000000</v>
      </c>
      <c r="T19" s="88">
        <f>IF(C19="","",ROUNDDOWN($T$4/$D$3,0)+$T$6)</f>
        <v>0</v>
      </c>
      <c r="U19" s="97">
        <f t="shared" si="2"/>
        <v>0</v>
      </c>
      <c r="V19" s="2"/>
      <c r="W19" s="46"/>
      <c r="X19" s="72"/>
      <c r="Y19" s="168"/>
      <c r="Z19" s="169"/>
      <c r="AA19" s="171"/>
      <c r="AB19" s="47"/>
      <c r="AD19" s="25"/>
    </row>
    <row r="20" spans="2:30" ht="30.75" customHeight="1" x14ac:dyDescent="0.2">
      <c r="B20" s="68" t="s">
        <v>23</v>
      </c>
      <c r="C20" s="115">
        <v>934004712</v>
      </c>
      <c r="D20" s="115">
        <v>400000000</v>
      </c>
      <c r="E20" s="115">
        <v>0</v>
      </c>
      <c r="F20" s="87">
        <f t="shared" si="3"/>
        <v>4394854</v>
      </c>
      <c r="G20" s="100">
        <f>MIN(C20,$D$4)</f>
        <v>4394854</v>
      </c>
      <c r="H20" s="100">
        <f t="shared" si="5"/>
        <v>0</v>
      </c>
      <c r="I20" s="88">
        <f t="shared" si="6"/>
        <v>56354515</v>
      </c>
      <c r="J20" s="100">
        <f>MAX(MIN(C20-G20,ROUNDDOWN($P$3/365,0)-G20),0)</f>
        <v>56354515</v>
      </c>
      <c r="K20" s="100">
        <f t="shared" si="8"/>
        <v>0</v>
      </c>
      <c r="L20" s="88">
        <f t="shared" si="9"/>
        <v>718528557</v>
      </c>
      <c r="M20" s="101">
        <f t="shared" ref="M20:M28" si="13">MAX(MIN(C20-G20-J20,R20+D20+S20+T20-U20),0)</f>
        <v>718528557</v>
      </c>
      <c r="N20" s="101">
        <f t="shared" si="0"/>
        <v>0</v>
      </c>
      <c r="O20" s="14"/>
      <c r="P20" s="97">
        <f t="shared" si="10"/>
        <v>154726786</v>
      </c>
      <c r="Q20" s="15"/>
      <c r="R20" s="92">
        <f t="shared" si="11"/>
        <v>18528557</v>
      </c>
      <c r="S20" s="92">
        <f t="shared" si="1"/>
        <v>300000000</v>
      </c>
      <c r="T20" s="88">
        <f t="shared" si="12"/>
        <v>0</v>
      </c>
      <c r="U20" s="97">
        <f t="shared" si="2"/>
        <v>0</v>
      </c>
      <c r="V20" s="2"/>
      <c r="W20" s="46"/>
      <c r="X20" s="72"/>
      <c r="Y20" s="166" t="s">
        <v>60</v>
      </c>
      <c r="Z20" s="167"/>
      <c r="AA20" s="170">
        <f>$M$48</f>
        <v>14510868498</v>
      </c>
      <c r="AB20" s="48"/>
    </row>
    <row r="21" spans="2:30" ht="30.75" customHeight="1" thickBot="1" x14ac:dyDescent="0.25">
      <c r="B21" s="68" t="s">
        <v>24</v>
      </c>
      <c r="C21" s="115">
        <v>454004712</v>
      </c>
      <c r="D21" s="115">
        <v>400000000</v>
      </c>
      <c r="E21" s="115">
        <v>0</v>
      </c>
      <c r="F21" s="87">
        <f t="shared" si="3"/>
        <v>4394854</v>
      </c>
      <c r="G21" s="100">
        <f t="shared" si="4"/>
        <v>4394854</v>
      </c>
      <c r="H21" s="100">
        <f t="shared" si="5"/>
        <v>0</v>
      </c>
      <c r="I21" s="88">
        <f t="shared" si="6"/>
        <v>56354515</v>
      </c>
      <c r="J21" s="100">
        <f t="shared" si="7"/>
        <v>56354515</v>
      </c>
      <c r="K21" s="100">
        <f t="shared" si="8"/>
        <v>0</v>
      </c>
      <c r="L21" s="88">
        <f t="shared" si="9"/>
        <v>718528557</v>
      </c>
      <c r="M21" s="101">
        <f t="shared" si="13"/>
        <v>393255343</v>
      </c>
      <c r="N21" s="101">
        <f t="shared" si="0"/>
        <v>325273214</v>
      </c>
      <c r="O21" s="14"/>
      <c r="P21" s="97">
        <f t="shared" si="10"/>
        <v>0</v>
      </c>
      <c r="Q21" s="15"/>
      <c r="R21" s="92">
        <f t="shared" si="11"/>
        <v>18528557</v>
      </c>
      <c r="S21" s="92">
        <f t="shared" si="1"/>
        <v>300000000</v>
      </c>
      <c r="T21" s="88">
        <f t="shared" si="12"/>
        <v>0</v>
      </c>
      <c r="U21" s="97">
        <f t="shared" si="2"/>
        <v>0</v>
      </c>
      <c r="V21" s="2"/>
      <c r="W21" s="46"/>
      <c r="X21" s="72"/>
      <c r="Y21" s="168"/>
      <c r="Z21" s="169"/>
      <c r="AA21" s="171"/>
      <c r="AB21" s="48"/>
    </row>
    <row r="22" spans="2:30" ht="30.75" customHeight="1" x14ac:dyDescent="0.2">
      <c r="B22" s="68" t="s">
        <v>25</v>
      </c>
      <c r="C22" s="115">
        <v>454004712</v>
      </c>
      <c r="D22" s="115">
        <v>400000000</v>
      </c>
      <c r="E22" s="115">
        <v>0</v>
      </c>
      <c r="F22" s="87">
        <f t="shared" si="3"/>
        <v>4394854</v>
      </c>
      <c r="G22" s="100">
        <f t="shared" si="4"/>
        <v>4394854</v>
      </c>
      <c r="H22" s="100">
        <f t="shared" si="5"/>
        <v>0</v>
      </c>
      <c r="I22" s="88">
        <f t="shared" si="6"/>
        <v>56354515</v>
      </c>
      <c r="J22" s="100">
        <f t="shared" si="7"/>
        <v>56354515</v>
      </c>
      <c r="K22" s="100">
        <f t="shared" si="8"/>
        <v>0</v>
      </c>
      <c r="L22" s="88">
        <f t="shared" si="9"/>
        <v>718528557</v>
      </c>
      <c r="M22" s="101">
        <f t="shared" si="13"/>
        <v>393255343</v>
      </c>
      <c r="N22" s="101">
        <f t="shared" si="0"/>
        <v>325273214</v>
      </c>
      <c r="O22" s="14"/>
      <c r="P22" s="97">
        <f t="shared" si="10"/>
        <v>0</v>
      </c>
      <c r="Q22" s="15"/>
      <c r="R22" s="92">
        <f t="shared" si="11"/>
        <v>18528557</v>
      </c>
      <c r="S22" s="92">
        <f t="shared" si="1"/>
        <v>300000000</v>
      </c>
      <c r="T22" s="88">
        <f t="shared" si="12"/>
        <v>0</v>
      </c>
      <c r="U22" s="97">
        <f t="shared" si="2"/>
        <v>0</v>
      </c>
      <c r="V22" s="2"/>
      <c r="W22" s="46"/>
      <c r="X22" s="73"/>
      <c r="Y22" s="158" t="s">
        <v>57</v>
      </c>
      <c r="Z22" s="159"/>
      <c r="AA22" s="162">
        <f>MAX($C$48-$AA$16-$AA$18-$AA$20,0)</f>
        <v>0</v>
      </c>
      <c r="AB22" s="48"/>
    </row>
    <row r="23" spans="2:30" ht="30.75" customHeight="1" thickBot="1" x14ac:dyDescent="0.25">
      <c r="B23" s="68" t="s">
        <v>26</v>
      </c>
      <c r="C23" s="115">
        <v>454004712</v>
      </c>
      <c r="D23" s="115">
        <v>400000000</v>
      </c>
      <c r="E23" s="115">
        <v>0</v>
      </c>
      <c r="F23" s="87">
        <f t="shared" si="3"/>
        <v>4394854</v>
      </c>
      <c r="G23" s="100">
        <f t="shared" si="4"/>
        <v>4394854</v>
      </c>
      <c r="H23" s="100">
        <f t="shared" si="5"/>
        <v>0</v>
      </c>
      <c r="I23" s="88">
        <f t="shared" si="6"/>
        <v>56354515</v>
      </c>
      <c r="J23" s="100">
        <f t="shared" si="7"/>
        <v>56354515</v>
      </c>
      <c r="K23" s="100">
        <f t="shared" si="8"/>
        <v>0</v>
      </c>
      <c r="L23" s="88">
        <f t="shared" si="9"/>
        <v>718528557</v>
      </c>
      <c r="M23" s="101">
        <f t="shared" si="13"/>
        <v>393255343</v>
      </c>
      <c r="N23" s="101">
        <f t="shared" si="0"/>
        <v>325273214</v>
      </c>
      <c r="O23" s="14"/>
      <c r="P23" s="97">
        <f t="shared" si="10"/>
        <v>0</v>
      </c>
      <c r="Q23" s="15"/>
      <c r="R23" s="92">
        <f t="shared" si="11"/>
        <v>18528557</v>
      </c>
      <c r="S23" s="92">
        <f t="shared" si="1"/>
        <v>300000000</v>
      </c>
      <c r="T23" s="88">
        <f t="shared" si="12"/>
        <v>0</v>
      </c>
      <c r="U23" s="97">
        <f t="shared" si="2"/>
        <v>0</v>
      </c>
      <c r="V23" s="2"/>
      <c r="W23" s="49"/>
      <c r="X23" s="74"/>
      <c r="Y23" s="160"/>
      <c r="Z23" s="161"/>
      <c r="AA23" s="163"/>
      <c r="AB23" s="50"/>
    </row>
    <row r="24" spans="2:30" ht="30.75" customHeight="1" thickBot="1" x14ac:dyDescent="0.25">
      <c r="B24" s="68" t="s">
        <v>27</v>
      </c>
      <c r="C24" s="115">
        <v>454004712</v>
      </c>
      <c r="D24" s="115">
        <v>400000000</v>
      </c>
      <c r="E24" s="115">
        <v>0</v>
      </c>
      <c r="F24" s="87">
        <f t="shared" si="3"/>
        <v>4394854</v>
      </c>
      <c r="G24" s="100">
        <f t="shared" si="4"/>
        <v>4394854</v>
      </c>
      <c r="H24" s="100">
        <f t="shared" si="5"/>
        <v>0</v>
      </c>
      <c r="I24" s="88">
        <f t="shared" si="6"/>
        <v>56354515</v>
      </c>
      <c r="J24" s="100">
        <f t="shared" si="7"/>
        <v>56354515</v>
      </c>
      <c r="K24" s="100">
        <f t="shared" si="8"/>
        <v>0</v>
      </c>
      <c r="L24" s="88">
        <f t="shared" si="9"/>
        <v>718528557</v>
      </c>
      <c r="M24" s="101">
        <f t="shared" si="13"/>
        <v>393255343</v>
      </c>
      <c r="N24" s="101">
        <f t="shared" si="0"/>
        <v>325273214</v>
      </c>
      <c r="O24" s="14"/>
      <c r="P24" s="97">
        <f t="shared" si="10"/>
        <v>0</v>
      </c>
      <c r="Q24" s="15"/>
      <c r="R24" s="92">
        <f t="shared" si="11"/>
        <v>18528557</v>
      </c>
      <c r="S24" s="92">
        <f t="shared" si="1"/>
        <v>300000000</v>
      </c>
      <c r="T24" s="88">
        <f t="shared" si="12"/>
        <v>0</v>
      </c>
      <c r="U24" s="97">
        <f t="shared" si="2"/>
        <v>0</v>
      </c>
      <c r="V24" s="2"/>
      <c r="W24" s="52"/>
      <c r="X24" s="53"/>
      <c r="Y24" s="53"/>
      <c r="Z24" s="53"/>
      <c r="AA24" s="53"/>
      <c r="AB24" s="78"/>
    </row>
    <row r="25" spans="2:30" ht="30.75" customHeight="1" x14ac:dyDescent="0.2">
      <c r="B25" s="68" t="s">
        <v>28</v>
      </c>
      <c r="C25" s="115">
        <v>454004712</v>
      </c>
      <c r="D25" s="115">
        <v>400000000</v>
      </c>
      <c r="E25" s="115">
        <v>0</v>
      </c>
      <c r="F25" s="87">
        <f t="shared" si="3"/>
        <v>4394854</v>
      </c>
      <c r="G25" s="100">
        <f t="shared" si="4"/>
        <v>4394854</v>
      </c>
      <c r="H25" s="100">
        <f t="shared" si="5"/>
        <v>0</v>
      </c>
      <c r="I25" s="88">
        <f t="shared" si="6"/>
        <v>56354515</v>
      </c>
      <c r="J25" s="100">
        <f t="shared" si="7"/>
        <v>56354515</v>
      </c>
      <c r="K25" s="100">
        <f t="shared" si="8"/>
        <v>0</v>
      </c>
      <c r="L25" s="88">
        <f>IF(C25="","",R25+D25+S25+T25-U25)</f>
        <v>718528557</v>
      </c>
      <c r="M25" s="101">
        <f t="shared" si="13"/>
        <v>393255343</v>
      </c>
      <c r="N25" s="101">
        <f t="shared" si="0"/>
        <v>325273214</v>
      </c>
      <c r="O25" s="14"/>
      <c r="P25" s="97">
        <f t="shared" si="10"/>
        <v>0</v>
      </c>
      <c r="Q25" s="15"/>
      <c r="R25" s="92">
        <f t="shared" si="11"/>
        <v>18528557</v>
      </c>
      <c r="S25" s="92">
        <f t="shared" si="1"/>
        <v>300000000</v>
      </c>
      <c r="T25" s="88">
        <f>IF(C25="","",ROUNDDOWN($T$4/$D$3,0)+$T$6)</f>
        <v>0</v>
      </c>
      <c r="U25" s="97">
        <f>IF(C25="","",IF($AA$4="○",ROUNDDOWN((R25+D25+S25+T25)*25/100,0)+ROUNDDOWN(AA$6/$D$3,0),ROUNDDOWN(AA$6/$D$3,0)))</f>
        <v>0</v>
      </c>
      <c r="V25" s="2"/>
    </row>
    <row r="26" spans="2:30" ht="30.75" customHeight="1" thickBot="1" x14ac:dyDescent="0.25">
      <c r="B26" s="68" t="s">
        <v>29</v>
      </c>
      <c r="C26" s="115">
        <v>854004712</v>
      </c>
      <c r="D26" s="115">
        <v>600000000</v>
      </c>
      <c r="E26" s="115">
        <v>0</v>
      </c>
      <c r="F26" s="87">
        <f t="shared" si="3"/>
        <v>4394854</v>
      </c>
      <c r="G26" s="100">
        <f t="shared" si="4"/>
        <v>4394854</v>
      </c>
      <c r="H26" s="100">
        <f t="shared" si="5"/>
        <v>0</v>
      </c>
      <c r="I26" s="88">
        <f t="shared" si="6"/>
        <v>56354515</v>
      </c>
      <c r="J26" s="100">
        <f t="shared" si="7"/>
        <v>56354515</v>
      </c>
      <c r="K26" s="100">
        <f>I26-J26</f>
        <v>0</v>
      </c>
      <c r="L26" s="88">
        <f t="shared" si="9"/>
        <v>1118528557</v>
      </c>
      <c r="M26" s="101">
        <f t="shared" si="13"/>
        <v>793255343</v>
      </c>
      <c r="N26" s="101">
        <f t="shared" si="0"/>
        <v>325273214</v>
      </c>
      <c r="O26" s="14"/>
      <c r="P26" s="97">
        <f t="shared" si="10"/>
        <v>0</v>
      </c>
      <c r="Q26" s="15"/>
      <c r="R26" s="92">
        <f t="shared" si="11"/>
        <v>18528557</v>
      </c>
      <c r="S26" s="92">
        <f t="shared" si="1"/>
        <v>500000000</v>
      </c>
      <c r="T26" s="88">
        <f t="shared" si="12"/>
        <v>0</v>
      </c>
      <c r="U26" s="97">
        <f t="shared" si="2"/>
        <v>0</v>
      </c>
      <c r="V26" s="2"/>
    </row>
    <row r="27" spans="2:30" ht="30.75" customHeight="1" x14ac:dyDescent="0.2">
      <c r="B27" s="68" t="s">
        <v>30</v>
      </c>
      <c r="C27" s="115">
        <v>854004712</v>
      </c>
      <c r="D27" s="115">
        <v>600000000</v>
      </c>
      <c r="E27" s="115">
        <v>0</v>
      </c>
      <c r="F27" s="87">
        <f t="shared" si="3"/>
        <v>4394854</v>
      </c>
      <c r="G27" s="100">
        <f t="shared" si="4"/>
        <v>4394854</v>
      </c>
      <c r="H27" s="100">
        <f t="shared" si="5"/>
        <v>0</v>
      </c>
      <c r="I27" s="88">
        <f t="shared" si="6"/>
        <v>56354515</v>
      </c>
      <c r="J27" s="100">
        <f t="shared" si="7"/>
        <v>56354515</v>
      </c>
      <c r="K27" s="100">
        <f t="shared" si="8"/>
        <v>0</v>
      </c>
      <c r="L27" s="88">
        <f t="shared" si="9"/>
        <v>1118528557</v>
      </c>
      <c r="M27" s="101">
        <f t="shared" si="13"/>
        <v>793255343</v>
      </c>
      <c r="N27" s="101">
        <f t="shared" si="0"/>
        <v>325273214</v>
      </c>
      <c r="O27" s="14"/>
      <c r="P27" s="97">
        <f t="shared" si="10"/>
        <v>0</v>
      </c>
      <c r="Q27" s="15"/>
      <c r="R27" s="92">
        <f t="shared" si="11"/>
        <v>18528557</v>
      </c>
      <c r="S27" s="92">
        <f t="shared" si="1"/>
        <v>500000000</v>
      </c>
      <c r="T27" s="88">
        <f t="shared" si="12"/>
        <v>0</v>
      </c>
      <c r="U27" s="97">
        <f t="shared" si="2"/>
        <v>0</v>
      </c>
      <c r="V27" s="2"/>
      <c r="W27" s="44"/>
      <c r="X27" s="164" t="s">
        <v>75</v>
      </c>
      <c r="Y27" s="164"/>
      <c r="Z27" s="164"/>
      <c r="AA27" s="164"/>
      <c r="AB27" s="45"/>
    </row>
    <row r="28" spans="2:30" ht="30.75" customHeight="1" x14ac:dyDescent="0.2">
      <c r="B28" s="68" t="s">
        <v>31</v>
      </c>
      <c r="C28" s="115">
        <v>854004712</v>
      </c>
      <c r="D28" s="115">
        <v>600000000</v>
      </c>
      <c r="E28" s="115">
        <v>0</v>
      </c>
      <c r="F28" s="87">
        <f>IF(C28="","",$D$4)</f>
        <v>4394854</v>
      </c>
      <c r="G28" s="100">
        <f t="shared" si="4"/>
        <v>4394854</v>
      </c>
      <c r="H28" s="100">
        <f t="shared" si="5"/>
        <v>0</v>
      </c>
      <c r="I28" s="88">
        <f t="shared" si="6"/>
        <v>56354515</v>
      </c>
      <c r="J28" s="100">
        <f t="shared" si="7"/>
        <v>56354515</v>
      </c>
      <c r="K28" s="100">
        <f t="shared" si="8"/>
        <v>0</v>
      </c>
      <c r="L28" s="88">
        <f t="shared" si="9"/>
        <v>1118528557</v>
      </c>
      <c r="M28" s="101">
        <f t="shared" si="13"/>
        <v>793255343</v>
      </c>
      <c r="N28" s="101">
        <f t="shared" si="0"/>
        <v>325273214</v>
      </c>
      <c r="O28" s="14"/>
      <c r="P28" s="97">
        <f t="shared" si="10"/>
        <v>0</v>
      </c>
      <c r="Q28" s="15"/>
      <c r="R28" s="92">
        <f t="shared" si="11"/>
        <v>18528557</v>
      </c>
      <c r="S28" s="92">
        <f t="shared" si="1"/>
        <v>500000000</v>
      </c>
      <c r="T28" s="88">
        <f t="shared" si="12"/>
        <v>0</v>
      </c>
      <c r="U28" s="97">
        <f t="shared" si="2"/>
        <v>0</v>
      </c>
      <c r="V28" s="2"/>
      <c r="W28" s="46"/>
      <c r="X28" s="165"/>
      <c r="Y28" s="165"/>
      <c r="Z28" s="165"/>
      <c r="AA28" s="165"/>
      <c r="AB28" s="47"/>
    </row>
    <row r="29" spans="2:30" ht="30.75" customHeight="1" x14ac:dyDescent="0.2">
      <c r="B29" s="68" t="s">
        <v>32</v>
      </c>
      <c r="C29" s="115">
        <v>854004712</v>
      </c>
      <c r="D29" s="115">
        <v>600000000</v>
      </c>
      <c r="E29" s="115">
        <v>0</v>
      </c>
      <c r="F29" s="87">
        <f>IF(C29="","",IF(VALUE(LEFT(B29,2))&gt;$D$3,"",$D$4))</f>
        <v>4394854</v>
      </c>
      <c r="G29" s="100">
        <f>IF(VALUE(LEFT(B29,2))&gt;$D$3,"",MIN(C29,$D$4))</f>
        <v>4394854</v>
      </c>
      <c r="H29" s="100">
        <f>IF(VALUE(LEFT(B29,2))&gt;$D$3,"",F29-G29)</f>
        <v>0</v>
      </c>
      <c r="I29" s="88">
        <f>IF(C29="","",IF(VALUE(LEFT(B29,2))&gt;$D$3,"",MAX(ROUNDDOWN($P$3/365,0)-$D$4,0)))</f>
        <v>56354515</v>
      </c>
      <c r="J29" s="100">
        <f>IF(VALUE(LEFT(B29,2))&gt;$D$3,"",MAX(MIN(C29-G29,ROUNDDOWN($P$3/365,0)-G29),0))</f>
        <v>56354515</v>
      </c>
      <c r="K29" s="100">
        <f>IF(VALUE(LEFT(B29,2))&gt;$D$3,"",I29-J29)</f>
        <v>0</v>
      </c>
      <c r="L29" s="88">
        <f>IF(C29="","",IF(VALUE(LEFT(B29,2))&gt;$D$3,"",R29+D29+S29+T29-U29))</f>
        <v>1118528557</v>
      </c>
      <c r="M29" s="101">
        <f>IF(VALUE(LEFT(B29,2))&gt;D$3,"",MAX(MIN(C29-G29-J29,R29+D29+S29+T29-U29),0))</f>
        <v>793255343</v>
      </c>
      <c r="N29" s="101">
        <f>IF(VALUE(LEFT(B29,2))&gt;$D$3,"",L29-M29)</f>
        <v>325273214</v>
      </c>
      <c r="O29" s="14"/>
      <c r="P29" s="97">
        <f>IF(C29="","",IF(VALUE(LEFT(B29,2))&gt;$D$3,"",MAX(C29-(F29+I29+L29),0)))</f>
        <v>0</v>
      </c>
      <c r="Q29" s="15"/>
      <c r="R29" s="92">
        <f>IF(C29="","",IF(VALUE(LEFT(B29,2))&gt;$D$3,"",ROUNDDOWN(ROUNDDOWN($P$3/365,0)*D$5/100,0)+IFERROR(ROUNDDOWN(ROUNDDOWN(T$8/T$9,0)*$D$5/100,0),0)))</f>
        <v>18528557</v>
      </c>
      <c r="S29" s="92">
        <f t="shared" si="1"/>
        <v>500000000</v>
      </c>
      <c r="T29" s="88">
        <f>IF(C29="","",IF(VALUE(LEFT(B29,2))&gt;$D$3,"",ROUNDDOWN($T$4/$D$3,0)+$T$6))</f>
        <v>0</v>
      </c>
      <c r="U29" s="97">
        <f>IF(C29="","",IF(VALUE(LEFT(B29,2))&gt;$D$3,"",IF($AA$4="○",ROUNDDOWN((R29+D29+S29+T29)*25/100,0)+ROUNDDOWN(AA$6/$D$3,0),ROUNDDOWN(AA$6/$D$3,0))))</f>
        <v>0</v>
      </c>
      <c r="V29" s="2"/>
      <c r="W29" s="49"/>
      <c r="X29" s="156" t="s">
        <v>52</v>
      </c>
      <c r="Y29" s="156"/>
      <c r="Z29" s="157" t="s">
        <v>61</v>
      </c>
      <c r="AA29" s="156" t="s">
        <v>62</v>
      </c>
      <c r="AB29" s="50"/>
    </row>
    <row r="30" spans="2:30" ht="30.75" customHeight="1" x14ac:dyDescent="0.2">
      <c r="B30" s="68" t="s">
        <v>33</v>
      </c>
      <c r="C30" s="115">
        <v>854004712</v>
      </c>
      <c r="D30" s="115">
        <v>600000000</v>
      </c>
      <c r="E30" s="115">
        <v>0</v>
      </c>
      <c r="F30" s="87">
        <f>IF(C30="","",IF(VALUE(LEFT(B30,2))&gt;$D$3,"",$D$4))</f>
        <v>4394854</v>
      </c>
      <c r="G30" s="100">
        <f>IF(VALUE(LEFT(B30,2))&gt;$D$3,"",MIN(C30,$D$4))</f>
        <v>4394854</v>
      </c>
      <c r="H30" s="100">
        <f>IF(VALUE(LEFT(B30,2))&gt;$D$3,"",F30-G30)</f>
        <v>0</v>
      </c>
      <c r="I30" s="88">
        <f>IF(C30="","",IF(VALUE(LEFT(B30,2))&gt;$D$3,"",MAX(ROUNDDOWN($P$3/365,0)-$D$4,0)))</f>
        <v>56354515</v>
      </c>
      <c r="J30" s="100">
        <f>IF(VALUE(LEFT(B30,2))&gt;$D$3,"",MAX(MIN(C30-G30,ROUNDDOWN($P$3/365,0)-G30),0))</f>
        <v>56354515</v>
      </c>
      <c r="K30" s="100">
        <f>IF(VALUE(LEFT(B30,2))&gt;$D$3,"",I30-J30)</f>
        <v>0</v>
      </c>
      <c r="L30" s="88">
        <f>IF(C30="","",IF(VALUE(LEFT(B30,2))&gt;$D$3,"",R30+D30+S30+T30-U30))</f>
        <v>1118528557</v>
      </c>
      <c r="M30" s="101">
        <f>IF(VALUE(LEFT(B30,2))&gt;D$3,"",MAX(MIN(C30-G30-J30,R30+D30+S30+T30-U30),0))</f>
        <v>793255343</v>
      </c>
      <c r="N30" s="101">
        <f>IF(VALUE(LEFT(B30,2))&gt;$D$3,"",L30-M30)</f>
        <v>325273214</v>
      </c>
      <c r="O30" s="14"/>
      <c r="P30" s="97">
        <f>IF(C30="","",IF(VALUE(LEFT(B30,2))&gt;$D$3,"",MAX(C30-(F30+I30+L30),0)))</f>
        <v>0</v>
      </c>
      <c r="Q30" s="15"/>
      <c r="R30" s="92">
        <f>IF(C30="","",IF(VALUE(LEFT(B30,2))&gt;$D$3,"",ROUNDDOWN(ROUNDDOWN($P$3/365,0)*D$5/100,0)+IFERROR(ROUNDDOWN(ROUNDDOWN(T$8/T$9,0)*$D$5/100,0),0)))</f>
        <v>18528557</v>
      </c>
      <c r="S30" s="92">
        <f t="shared" si="1"/>
        <v>500000000</v>
      </c>
      <c r="T30" s="88">
        <f>IF(C30="","",IF(VALUE(LEFT(B30,2))&gt;$D$3,"",ROUNDDOWN($T$4/$D$3,0)+$T$6))</f>
        <v>0</v>
      </c>
      <c r="U30" s="97">
        <f>IF(C30="","",IF(VALUE(LEFT(B30,2))&gt;$D$3,"",IF($AA$4="○",ROUNDDOWN((R30+D30+S30+T30)*25/100,0)+ROUNDDOWN(AA$6/$D$3,0),ROUNDDOWN(AA$6/$D$3,0))))</f>
        <v>0</v>
      </c>
      <c r="V30" s="24"/>
      <c r="W30" s="46"/>
      <c r="X30" s="156"/>
      <c r="Y30" s="156"/>
      <c r="Z30" s="157"/>
      <c r="AA30" s="156"/>
      <c r="AB30" s="47"/>
    </row>
    <row r="31" spans="2:30" ht="30.75" customHeight="1" x14ac:dyDescent="0.2">
      <c r="B31" s="68" t="s">
        <v>34</v>
      </c>
      <c r="C31" s="115">
        <v>854004712</v>
      </c>
      <c r="D31" s="115">
        <v>600000000</v>
      </c>
      <c r="E31" s="115">
        <v>0</v>
      </c>
      <c r="F31" s="87">
        <f>IF(C31="","",IF(VALUE(LEFT(B31,2))&gt;$D$3,"",$D$4))</f>
        <v>4394854</v>
      </c>
      <c r="G31" s="100">
        <f>IF(VALUE(LEFT(B31,2))&gt;$D$3,"",MIN(C31,$D$4))</f>
        <v>4394854</v>
      </c>
      <c r="H31" s="100">
        <f>IF(VALUE(LEFT(B31,2))&gt;$D$3,"",F31-G31)</f>
        <v>0</v>
      </c>
      <c r="I31" s="88">
        <f>IF(C31="","",IF(VALUE(LEFT(B31,2))&gt;$D$3,"",MAX(ROUNDDOWN($P$3/365,0)-$D$4,0)))</f>
        <v>56354515</v>
      </c>
      <c r="J31" s="100">
        <f>IF(VALUE(LEFT(B31,2))&gt;$D$3,"",MAX(MIN(C31-G31,ROUNDDOWN($P$3/365,0)-G31),0))</f>
        <v>56354515</v>
      </c>
      <c r="K31" s="100">
        <f>IF(VALUE(LEFT(B31,2))&gt;$D$3,"",I31-J31)</f>
        <v>0</v>
      </c>
      <c r="L31" s="88">
        <f>IF(C31="","",IF(VALUE(LEFT(B31,2))&gt;$D$3,"",R31+D31+S31+T31-U31))</f>
        <v>1118528557</v>
      </c>
      <c r="M31" s="101">
        <f>IF(VALUE(LEFT(B31,2))&gt;D$3,"",MAX(MIN(C31-G31-J31,R31+D31+S31+T31-U31),0))</f>
        <v>793255343</v>
      </c>
      <c r="N31" s="101">
        <f>IF(VALUE(LEFT(B31,2))&gt;$D$3,"",L31-M31)</f>
        <v>325273214</v>
      </c>
      <c r="O31" s="14"/>
      <c r="P31" s="97">
        <f>IF(C31="","",IF(VALUE(LEFT(B31,2))&gt;$D$3,"",MAX(C31-(F31+I31+L31),0)))</f>
        <v>0</v>
      </c>
      <c r="Q31" s="15"/>
      <c r="R31" s="92">
        <f>IF(C31="","",IF(VALUE(LEFT(B31,2))&gt;$D$3,"",ROUNDDOWN(ROUNDDOWN($P$3/365,0)*D$5/100,0)+IFERROR(ROUNDDOWN(ROUNDDOWN(T$8/T$9,0)*$D$5/100,0),0)))</f>
        <v>18528557</v>
      </c>
      <c r="S31" s="92">
        <f t="shared" si="1"/>
        <v>500000000</v>
      </c>
      <c r="T31" s="88">
        <f>IF(C31="","",IF(VALUE(LEFT(B31,2))&gt;$D$3,"",ROUNDDOWN($T$4/$D$3,0)+$T$6))</f>
        <v>0</v>
      </c>
      <c r="U31" s="97">
        <f>IF(C31="","",IF(VALUE(LEFT(B31,2))&gt;$D$3,"",IF($AA$4="○",ROUNDDOWN((R31+D31+S31+T31)*25/100,0)+ROUNDDOWN(AA$6/$D$3,0),ROUNDDOWN(AA$6/$D$3,0))))</f>
        <v>0</v>
      </c>
      <c r="V31" s="2"/>
      <c r="W31" s="49"/>
      <c r="X31" s="156"/>
      <c r="Y31" s="156"/>
      <c r="Z31" s="77">
        <f>$D$4*$D$3</f>
        <v>136240474</v>
      </c>
      <c r="AA31" s="77">
        <f>MAX($Z$31-$AA$16,0)</f>
        <v>0</v>
      </c>
      <c r="AB31" s="51"/>
      <c r="AC31" s="8"/>
      <c r="AD31" s="8"/>
    </row>
    <row r="32" spans="2:30" ht="30.75" customHeight="1" x14ac:dyDescent="0.2">
      <c r="B32" s="68" t="s">
        <v>18</v>
      </c>
      <c r="C32" s="115">
        <v>854004712</v>
      </c>
      <c r="D32" s="115">
        <v>600000000</v>
      </c>
      <c r="E32" s="115">
        <v>0</v>
      </c>
      <c r="F32" s="87">
        <f>IF(C32="","",$D$4)</f>
        <v>4394854</v>
      </c>
      <c r="G32" s="100">
        <f t="shared" ref="G32:G46" si="14">MIN(C32,$D$4)</f>
        <v>4394854</v>
      </c>
      <c r="H32" s="100">
        <f t="shared" si="5"/>
        <v>0</v>
      </c>
      <c r="I32" s="88">
        <f>IF(C32="","",MAX(ROUNDDOWN($P$3/365,0)-$D$4,0))</f>
        <v>56354515</v>
      </c>
      <c r="J32" s="100">
        <f t="shared" ref="J32:J46" si="15">MAX(MIN(C32-G32,ROUNDDOWN($P$3/365,0)-G32),0)</f>
        <v>56354515</v>
      </c>
      <c r="K32" s="100">
        <f>I32-J32</f>
        <v>0</v>
      </c>
      <c r="L32" s="88">
        <f>IF(C32="","",R32+D32+S32+T32-U32)</f>
        <v>1118528557</v>
      </c>
      <c r="M32" s="101">
        <f>MAX(MIN(C32-G32-J32,R32+D32+S32+T32-U32),0)</f>
        <v>793255343</v>
      </c>
      <c r="N32" s="101">
        <f t="shared" si="0"/>
        <v>325273214</v>
      </c>
      <c r="O32" s="14"/>
      <c r="P32" s="97">
        <f t="shared" ref="P32:P46" si="16">IF(C32="","",MAX(C32-(F32+I32+L32),0))</f>
        <v>0</v>
      </c>
      <c r="Q32" s="15"/>
      <c r="R32" s="92">
        <f t="shared" ref="R32:R46" si="17">IF(C32="","",ROUNDDOWN(ROUNDDOWN($P$3/365,0)*$D$5/100,0)+IFERROR(ROUNDDOWN(ROUNDDOWN(T$8/T$9,0)*$D$5/100,0),0))</f>
        <v>18528557</v>
      </c>
      <c r="S32" s="92">
        <f t="shared" si="1"/>
        <v>500000000</v>
      </c>
      <c r="T32" s="88">
        <f t="shared" ref="T32:T46" si="18">IF(C32="","",ROUNDDOWN($T$4/$D$3,0)+$T$6)</f>
        <v>0</v>
      </c>
      <c r="U32" s="97">
        <f t="shared" si="2"/>
        <v>0</v>
      </c>
      <c r="V32" s="2"/>
      <c r="W32" s="46"/>
      <c r="X32" s="156" t="s">
        <v>53</v>
      </c>
      <c r="Y32" s="156"/>
      <c r="Z32" s="157" t="s">
        <v>63</v>
      </c>
      <c r="AA32" s="156" t="s">
        <v>65</v>
      </c>
      <c r="AB32" s="47"/>
    </row>
    <row r="33" spans="2:28" ht="30.75" customHeight="1" x14ac:dyDescent="0.2">
      <c r="B33" s="68" t="s">
        <v>35</v>
      </c>
      <c r="C33" s="115">
        <v>834004712</v>
      </c>
      <c r="D33" s="115">
        <v>600000000</v>
      </c>
      <c r="E33" s="115">
        <v>0</v>
      </c>
      <c r="F33" s="87">
        <f t="shared" ref="F33:F45" si="19">IF(C33="","",$D$4)</f>
        <v>4394854</v>
      </c>
      <c r="G33" s="100">
        <f t="shared" si="14"/>
        <v>4394854</v>
      </c>
      <c r="H33" s="100">
        <f t="shared" si="5"/>
        <v>0</v>
      </c>
      <c r="I33" s="88">
        <f t="shared" ref="I33:I45" si="20">IF(C33="","",MAX(ROUNDDOWN($P$3/365,0)-$D$4,0))</f>
        <v>56354515</v>
      </c>
      <c r="J33" s="100">
        <f t="shared" si="15"/>
        <v>56354515</v>
      </c>
      <c r="K33" s="100">
        <f t="shared" si="8"/>
        <v>0</v>
      </c>
      <c r="L33" s="88">
        <f>IF(C33="","",R33+D33+S33+T33-U33)</f>
        <v>1118528557</v>
      </c>
      <c r="M33" s="101">
        <f t="shared" ref="M33:M45" si="21">MAX(MIN(C33-G33-J33,R33+D33+S33+T33-U33),0)</f>
        <v>773255343</v>
      </c>
      <c r="N33" s="101">
        <f t="shared" si="0"/>
        <v>345273214</v>
      </c>
      <c r="O33" s="14"/>
      <c r="P33" s="97">
        <f t="shared" si="16"/>
        <v>0</v>
      </c>
      <c r="Q33" s="15"/>
      <c r="R33" s="92">
        <f t="shared" si="17"/>
        <v>18528557</v>
      </c>
      <c r="S33" s="92">
        <f t="shared" si="1"/>
        <v>500000000</v>
      </c>
      <c r="T33" s="88">
        <f t="shared" si="18"/>
        <v>0</v>
      </c>
      <c r="U33" s="97">
        <f t="shared" si="2"/>
        <v>0</v>
      </c>
      <c r="V33" s="2"/>
      <c r="W33" s="46"/>
      <c r="X33" s="156"/>
      <c r="Y33" s="156"/>
      <c r="Z33" s="157"/>
      <c r="AA33" s="156"/>
      <c r="AB33" s="47"/>
    </row>
    <row r="34" spans="2:28" ht="30.75" customHeight="1" x14ac:dyDescent="0.2">
      <c r="B34" s="68" t="s">
        <v>36</v>
      </c>
      <c r="C34" s="115">
        <v>874004712</v>
      </c>
      <c r="D34" s="115">
        <v>600000000</v>
      </c>
      <c r="E34" s="115">
        <v>0</v>
      </c>
      <c r="F34" s="87">
        <f t="shared" si="19"/>
        <v>4394854</v>
      </c>
      <c r="G34" s="100">
        <f t="shared" si="14"/>
        <v>4394854</v>
      </c>
      <c r="H34" s="100">
        <f t="shared" si="5"/>
        <v>0</v>
      </c>
      <c r="I34" s="88">
        <f t="shared" si="20"/>
        <v>56354515</v>
      </c>
      <c r="J34" s="100">
        <f t="shared" si="15"/>
        <v>56354515</v>
      </c>
      <c r="K34" s="100">
        <f t="shared" si="8"/>
        <v>0</v>
      </c>
      <c r="L34" s="88">
        <f t="shared" ref="L34:L46" si="22">IF(C34="","",R34+D34+S34+T34-U34)</f>
        <v>1118528557</v>
      </c>
      <c r="M34" s="101">
        <f t="shared" si="21"/>
        <v>813255343</v>
      </c>
      <c r="N34" s="101">
        <f t="shared" si="0"/>
        <v>305273214</v>
      </c>
      <c r="O34" s="14"/>
      <c r="P34" s="97">
        <f t="shared" si="16"/>
        <v>0</v>
      </c>
      <c r="Q34" s="15"/>
      <c r="R34" s="92">
        <f t="shared" si="17"/>
        <v>18528557</v>
      </c>
      <c r="S34" s="92">
        <f t="shared" si="1"/>
        <v>500000000</v>
      </c>
      <c r="T34" s="88">
        <f t="shared" si="18"/>
        <v>0</v>
      </c>
      <c r="U34" s="97">
        <f t="shared" si="2"/>
        <v>0</v>
      </c>
      <c r="V34" s="2"/>
      <c r="W34" s="49"/>
      <c r="X34" s="156"/>
      <c r="Y34" s="156"/>
      <c r="Z34" s="77">
        <f>MAX(ROUNDDOWN($P$3*$D$3/365,0)-$D$4*$D$3,0)</f>
        <v>1746989980</v>
      </c>
      <c r="AA34" s="77">
        <f>MAX($Z$34-$AA$18,0)</f>
        <v>0</v>
      </c>
      <c r="AB34" s="47"/>
    </row>
    <row r="35" spans="2:28" ht="30.75" customHeight="1" x14ac:dyDescent="0.2">
      <c r="B35" s="68" t="s">
        <v>37</v>
      </c>
      <c r="C35" s="115">
        <v>874004712</v>
      </c>
      <c r="D35" s="115">
        <v>600000000</v>
      </c>
      <c r="E35" s="115">
        <v>0</v>
      </c>
      <c r="F35" s="87">
        <f t="shared" si="19"/>
        <v>4394854</v>
      </c>
      <c r="G35" s="100">
        <f t="shared" si="14"/>
        <v>4394854</v>
      </c>
      <c r="H35" s="100">
        <f t="shared" si="5"/>
        <v>0</v>
      </c>
      <c r="I35" s="88">
        <f t="shared" si="20"/>
        <v>56354515</v>
      </c>
      <c r="J35" s="100">
        <f t="shared" si="15"/>
        <v>56354515</v>
      </c>
      <c r="K35" s="100">
        <f t="shared" si="8"/>
        <v>0</v>
      </c>
      <c r="L35" s="88">
        <f t="shared" si="22"/>
        <v>1118528557</v>
      </c>
      <c r="M35" s="101">
        <f t="shared" si="21"/>
        <v>813255343</v>
      </c>
      <c r="N35" s="101">
        <f t="shared" si="0"/>
        <v>305273214</v>
      </c>
      <c r="O35" s="14"/>
      <c r="P35" s="97">
        <f t="shared" si="16"/>
        <v>0</v>
      </c>
      <c r="Q35" s="15"/>
      <c r="R35" s="92">
        <f t="shared" si="17"/>
        <v>18528557</v>
      </c>
      <c r="S35" s="92">
        <f t="shared" si="1"/>
        <v>500000000</v>
      </c>
      <c r="T35" s="88">
        <f t="shared" si="18"/>
        <v>0</v>
      </c>
      <c r="U35" s="97">
        <f t="shared" si="2"/>
        <v>0</v>
      </c>
      <c r="V35" s="2"/>
      <c r="W35" s="46"/>
      <c r="X35" s="156" t="s">
        <v>58</v>
      </c>
      <c r="Y35" s="156"/>
      <c r="Z35" s="157" t="s">
        <v>64</v>
      </c>
      <c r="AA35" s="156" t="s">
        <v>66</v>
      </c>
      <c r="AB35" s="47"/>
    </row>
    <row r="36" spans="2:28" ht="30.75" customHeight="1" x14ac:dyDescent="0.2">
      <c r="B36" s="68" t="s">
        <v>38</v>
      </c>
      <c r="C36" s="115">
        <v>894004712</v>
      </c>
      <c r="D36" s="115">
        <v>600000000</v>
      </c>
      <c r="E36" s="115">
        <v>0</v>
      </c>
      <c r="F36" s="87">
        <f t="shared" si="19"/>
        <v>4394854</v>
      </c>
      <c r="G36" s="100">
        <f t="shared" si="14"/>
        <v>4394854</v>
      </c>
      <c r="H36" s="100">
        <f t="shared" si="5"/>
        <v>0</v>
      </c>
      <c r="I36" s="88">
        <f t="shared" si="20"/>
        <v>56354515</v>
      </c>
      <c r="J36" s="100">
        <f t="shared" si="15"/>
        <v>56354515</v>
      </c>
      <c r="K36" s="100">
        <f t="shared" si="8"/>
        <v>0</v>
      </c>
      <c r="L36" s="88">
        <f t="shared" si="22"/>
        <v>1118528557</v>
      </c>
      <c r="M36" s="101">
        <f t="shared" si="21"/>
        <v>833255343</v>
      </c>
      <c r="N36" s="101">
        <f t="shared" si="0"/>
        <v>285273214</v>
      </c>
      <c r="O36" s="14"/>
      <c r="P36" s="97">
        <f t="shared" si="16"/>
        <v>0</v>
      </c>
      <c r="Q36" s="15"/>
      <c r="R36" s="92">
        <f t="shared" si="17"/>
        <v>18528557</v>
      </c>
      <c r="S36" s="92">
        <f t="shared" si="1"/>
        <v>500000000</v>
      </c>
      <c r="T36" s="88">
        <f t="shared" si="18"/>
        <v>0</v>
      </c>
      <c r="U36" s="97">
        <f t="shared" si="2"/>
        <v>0</v>
      </c>
      <c r="V36" s="2"/>
      <c r="W36" s="49"/>
      <c r="X36" s="156"/>
      <c r="Y36" s="156"/>
      <c r="Z36" s="157"/>
      <c r="AA36" s="156"/>
      <c r="AB36" s="50"/>
    </row>
    <row r="37" spans="2:28" ht="30.75" customHeight="1" x14ac:dyDescent="0.2">
      <c r="B37" s="68" t="s">
        <v>39</v>
      </c>
      <c r="C37" s="115"/>
      <c r="D37" s="115">
        <v>800000000</v>
      </c>
      <c r="E37" s="115">
        <v>0</v>
      </c>
      <c r="F37" s="87" t="str">
        <f t="shared" si="19"/>
        <v/>
      </c>
      <c r="G37" s="100">
        <f t="shared" si="14"/>
        <v>4394854</v>
      </c>
      <c r="H37" s="100" t="e">
        <f t="shared" si="5"/>
        <v>#VALUE!</v>
      </c>
      <c r="I37" s="88" t="str">
        <f>IF(C37="","",MAX(ROUNDDOWN($P$3/365,0)-$D$4,0))</f>
        <v/>
      </c>
      <c r="J37" s="100">
        <f t="shared" si="15"/>
        <v>0</v>
      </c>
      <c r="K37" s="100" t="e">
        <f t="shared" si="8"/>
        <v>#VALUE!</v>
      </c>
      <c r="L37" s="88" t="str">
        <f t="shared" si="22"/>
        <v/>
      </c>
      <c r="M37" s="101" t="e">
        <f t="shared" si="21"/>
        <v>#VALUE!</v>
      </c>
      <c r="N37" s="101" t="e">
        <f t="shared" si="0"/>
        <v>#VALUE!</v>
      </c>
      <c r="O37" s="14"/>
      <c r="P37" s="97" t="str">
        <f t="shared" si="16"/>
        <v/>
      </c>
      <c r="Q37" s="15"/>
      <c r="R37" s="92" t="str">
        <f t="shared" si="17"/>
        <v/>
      </c>
      <c r="S37" s="92" t="str">
        <f t="shared" si="1"/>
        <v/>
      </c>
      <c r="T37" s="88" t="str">
        <f t="shared" si="18"/>
        <v/>
      </c>
      <c r="U37" s="97" t="str">
        <f t="shared" si="2"/>
        <v/>
      </c>
      <c r="V37" s="2"/>
      <c r="W37" s="46"/>
      <c r="X37" s="156"/>
      <c r="Y37" s="156"/>
      <c r="Z37" s="77">
        <f>ROUNDDOWN(ROUNDDOWN($P$3*$D$3/365,0)*$D$5/100,0)+IFERROR(ROUNDDOWN(ROUNDDOWN($T$8*$D$3/$T$9,0)*$D$5/100,0),0)+$D$48+ROUNDDOWN(MAX($D$48-$E$48-$P$4*$D$3,0)*$D$6/100,0)+$T$4+$T$6*$D$3-IF($AA$4="○",ROUNDDOWN((ROUNDDOWN(ROUNDDOWN($P$3*$D$3/365,0)*$D$5/100,0)+IFERROR(ROUNDDOWN(ROUNDDOWN($T$8*$D$3/$T$9,0)*$D$5/100,0),0)+$D$48+ROUNDDOWN(MAX($D$48-$E$48-$P$4*$D$3,0)*$D$6/100,0)+$T$4+$T$6*$D$3)*25/100,0),0)-AA6</f>
        <v>34674385288</v>
      </c>
      <c r="AA37" s="77">
        <f>MAX($Z$37-$AA$20,0)</f>
        <v>20163516790</v>
      </c>
      <c r="AB37" s="47"/>
    </row>
    <row r="38" spans="2:28" ht="30.75" customHeight="1" x14ac:dyDescent="0.2">
      <c r="B38" s="68" t="s">
        <v>40</v>
      </c>
      <c r="C38" s="115"/>
      <c r="D38" s="115">
        <v>800000000</v>
      </c>
      <c r="E38" s="115">
        <v>0</v>
      </c>
      <c r="F38" s="87" t="str">
        <f t="shared" si="19"/>
        <v/>
      </c>
      <c r="G38" s="100">
        <f t="shared" si="14"/>
        <v>4394854</v>
      </c>
      <c r="H38" s="100" t="e">
        <f t="shared" si="5"/>
        <v>#VALUE!</v>
      </c>
      <c r="I38" s="88" t="str">
        <f t="shared" si="20"/>
        <v/>
      </c>
      <c r="J38" s="100">
        <f t="shared" si="15"/>
        <v>0</v>
      </c>
      <c r="K38" s="100" t="e">
        <f t="shared" si="8"/>
        <v>#VALUE!</v>
      </c>
      <c r="L38" s="88" t="str">
        <f t="shared" si="22"/>
        <v/>
      </c>
      <c r="M38" s="101" t="e">
        <f t="shared" si="21"/>
        <v>#VALUE!</v>
      </c>
      <c r="N38" s="101" t="e">
        <f t="shared" si="0"/>
        <v>#VALUE!</v>
      </c>
      <c r="O38" s="14"/>
      <c r="P38" s="97" t="str">
        <f t="shared" si="16"/>
        <v/>
      </c>
      <c r="Q38" s="15"/>
      <c r="R38" s="92" t="str">
        <f t="shared" si="17"/>
        <v/>
      </c>
      <c r="S38" s="92" t="str">
        <f t="shared" si="1"/>
        <v/>
      </c>
      <c r="T38" s="88" t="str">
        <f t="shared" si="18"/>
        <v/>
      </c>
      <c r="U38" s="97" t="str">
        <f t="shared" si="2"/>
        <v/>
      </c>
      <c r="V38" s="2"/>
      <c r="W38" s="49"/>
      <c r="X38" s="154" t="s">
        <v>76</v>
      </c>
      <c r="Y38" s="154"/>
      <c r="Z38" s="154"/>
      <c r="AA38" s="155" t="str">
        <f>IF(AA20&lt;(ROUNDDOWN(ROUNDDOWN($P$3*$D$3/365,0)*$D$5/100,0)+IFERROR(ROUNDDOWN(ROUNDDOWN($T$8*$D$3/$T$9,0)*$D$5/100,0),0)+$D$48+ROUNDDOWN(MAX($D$48-E48-$P$4*$D$3,0)*$D$6/100,0)+$T$4+$T$6*$D$3)*50/100,"○","")</f>
        <v>○</v>
      </c>
      <c r="AB38" s="47"/>
    </row>
    <row r="39" spans="2:28" ht="30.75" customHeight="1" x14ac:dyDescent="0.2">
      <c r="B39" s="68" t="s">
        <v>41</v>
      </c>
      <c r="C39" s="115"/>
      <c r="D39" s="115">
        <v>800000000</v>
      </c>
      <c r="E39" s="115">
        <v>0</v>
      </c>
      <c r="F39" s="87" t="str">
        <f t="shared" si="19"/>
        <v/>
      </c>
      <c r="G39" s="100">
        <f t="shared" si="14"/>
        <v>4394854</v>
      </c>
      <c r="H39" s="100" t="e">
        <f t="shared" si="5"/>
        <v>#VALUE!</v>
      </c>
      <c r="I39" s="88" t="str">
        <f t="shared" si="20"/>
        <v/>
      </c>
      <c r="J39" s="100">
        <f t="shared" si="15"/>
        <v>0</v>
      </c>
      <c r="K39" s="100" t="e">
        <f t="shared" si="8"/>
        <v>#VALUE!</v>
      </c>
      <c r="L39" s="88" t="str">
        <f t="shared" si="22"/>
        <v/>
      </c>
      <c r="M39" s="101" t="e">
        <f t="shared" si="21"/>
        <v>#VALUE!</v>
      </c>
      <c r="N39" s="101" t="e">
        <f t="shared" si="0"/>
        <v>#VALUE!</v>
      </c>
      <c r="O39" s="14"/>
      <c r="P39" s="97" t="str">
        <f t="shared" si="16"/>
        <v/>
      </c>
      <c r="Q39" s="15"/>
      <c r="R39" s="92" t="str">
        <f t="shared" si="17"/>
        <v/>
      </c>
      <c r="S39" s="92" t="str">
        <f t="shared" si="1"/>
        <v/>
      </c>
      <c r="T39" s="88" t="str">
        <f t="shared" si="18"/>
        <v/>
      </c>
      <c r="U39" s="97" t="str">
        <f t="shared" si="2"/>
        <v/>
      </c>
      <c r="V39" s="2"/>
      <c r="W39" s="46"/>
      <c r="X39" s="154"/>
      <c r="Y39" s="154"/>
      <c r="Z39" s="154"/>
      <c r="AA39" s="155"/>
      <c r="AB39" s="47"/>
    </row>
    <row r="40" spans="2:28" ht="30.75" customHeight="1" x14ac:dyDescent="0.2">
      <c r="B40" s="68" t="s">
        <v>42</v>
      </c>
      <c r="C40" s="115"/>
      <c r="D40" s="115">
        <v>800000000</v>
      </c>
      <c r="E40" s="115">
        <v>0</v>
      </c>
      <c r="F40" s="87" t="str">
        <f t="shared" si="19"/>
        <v/>
      </c>
      <c r="G40" s="100">
        <f t="shared" si="14"/>
        <v>4394854</v>
      </c>
      <c r="H40" s="100" t="e">
        <f t="shared" si="5"/>
        <v>#VALUE!</v>
      </c>
      <c r="I40" s="88" t="str">
        <f t="shared" si="20"/>
        <v/>
      </c>
      <c r="J40" s="100">
        <f t="shared" si="15"/>
        <v>0</v>
      </c>
      <c r="K40" s="100" t="e">
        <f t="shared" si="8"/>
        <v>#VALUE!</v>
      </c>
      <c r="L40" s="88" t="str">
        <f t="shared" si="22"/>
        <v/>
      </c>
      <c r="M40" s="101" t="e">
        <f t="shared" si="21"/>
        <v>#VALUE!</v>
      </c>
      <c r="N40" s="101" t="e">
        <f t="shared" si="0"/>
        <v>#VALUE!</v>
      </c>
      <c r="O40" s="14"/>
      <c r="P40" s="97" t="str">
        <f t="shared" si="16"/>
        <v/>
      </c>
      <c r="Q40" s="15"/>
      <c r="R40" s="92" t="str">
        <f t="shared" si="17"/>
        <v/>
      </c>
      <c r="S40" s="92" t="str">
        <f t="shared" si="1"/>
        <v/>
      </c>
      <c r="T40" s="88" t="str">
        <f t="shared" si="18"/>
        <v/>
      </c>
      <c r="U40" s="97" t="str">
        <f t="shared" si="2"/>
        <v/>
      </c>
      <c r="V40" s="2"/>
      <c r="W40" s="46"/>
      <c r="X40" s="8"/>
      <c r="Y40" s="8"/>
      <c r="Z40" s="8"/>
      <c r="AA40" s="8"/>
      <c r="AB40" s="47"/>
    </row>
    <row r="41" spans="2:28" ht="30.75" customHeight="1" x14ac:dyDescent="0.2">
      <c r="B41" s="68" t="s">
        <v>43</v>
      </c>
      <c r="C41" s="115"/>
      <c r="D41" s="115">
        <v>800000000</v>
      </c>
      <c r="E41" s="115">
        <v>0</v>
      </c>
      <c r="F41" s="87" t="str">
        <f t="shared" si="19"/>
        <v/>
      </c>
      <c r="G41" s="100">
        <f t="shared" si="14"/>
        <v>4394854</v>
      </c>
      <c r="H41" s="100" t="e">
        <f t="shared" si="5"/>
        <v>#VALUE!</v>
      </c>
      <c r="I41" s="88" t="str">
        <f t="shared" si="20"/>
        <v/>
      </c>
      <c r="J41" s="100">
        <f t="shared" si="15"/>
        <v>0</v>
      </c>
      <c r="K41" s="100" t="e">
        <f t="shared" si="8"/>
        <v>#VALUE!</v>
      </c>
      <c r="L41" s="88" t="str">
        <f t="shared" si="22"/>
        <v/>
      </c>
      <c r="M41" s="101" t="e">
        <f t="shared" si="21"/>
        <v>#VALUE!</v>
      </c>
      <c r="N41" s="101" t="e">
        <f t="shared" si="0"/>
        <v>#VALUE!</v>
      </c>
      <c r="O41" s="14"/>
      <c r="P41" s="97" t="str">
        <f t="shared" si="16"/>
        <v/>
      </c>
      <c r="Q41" s="15"/>
      <c r="R41" s="92" t="str">
        <f t="shared" si="17"/>
        <v/>
      </c>
      <c r="S41" s="92" t="str">
        <f t="shared" si="1"/>
        <v/>
      </c>
      <c r="T41" s="88" t="str">
        <f t="shared" si="18"/>
        <v/>
      </c>
      <c r="U41" s="97" t="str">
        <f t="shared" si="2"/>
        <v/>
      </c>
      <c r="V41" s="2"/>
      <c r="W41" s="46"/>
      <c r="X41" s="8"/>
      <c r="Y41" s="8"/>
      <c r="Z41" s="8"/>
      <c r="AA41" s="8"/>
      <c r="AB41" s="47"/>
    </row>
    <row r="42" spans="2:28" ht="30.75" customHeight="1" x14ac:dyDescent="0.2">
      <c r="B42" s="68" t="s">
        <v>44</v>
      </c>
      <c r="C42" s="115"/>
      <c r="D42" s="115">
        <v>800000000</v>
      </c>
      <c r="E42" s="115">
        <v>0</v>
      </c>
      <c r="F42" s="87" t="str">
        <f t="shared" si="19"/>
        <v/>
      </c>
      <c r="G42" s="100">
        <f t="shared" si="14"/>
        <v>4394854</v>
      </c>
      <c r="H42" s="100" t="e">
        <f t="shared" si="5"/>
        <v>#VALUE!</v>
      </c>
      <c r="I42" s="88" t="str">
        <f t="shared" si="20"/>
        <v/>
      </c>
      <c r="J42" s="100">
        <f t="shared" si="15"/>
        <v>0</v>
      </c>
      <c r="K42" s="100" t="e">
        <f t="shared" si="8"/>
        <v>#VALUE!</v>
      </c>
      <c r="L42" s="88" t="str">
        <f>IF(C42="","",R42+D42+S42+T42-U42)</f>
        <v/>
      </c>
      <c r="M42" s="101" t="e">
        <f t="shared" si="21"/>
        <v>#VALUE!</v>
      </c>
      <c r="N42" s="101" t="e">
        <f t="shared" si="0"/>
        <v>#VALUE!</v>
      </c>
      <c r="O42" s="14"/>
      <c r="P42" s="97" t="str">
        <f t="shared" si="16"/>
        <v/>
      </c>
      <c r="Q42" s="15"/>
      <c r="R42" s="92" t="str">
        <f t="shared" si="17"/>
        <v/>
      </c>
      <c r="S42" s="92" t="str">
        <f t="shared" si="1"/>
        <v/>
      </c>
      <c r="T42" s="88" t="str">
        <f t="shared" si="18"/>
        <v/>
      </c>
      <c r="U42" s="97" t="str">
        <f t="shared" si="2"/>
        <v/>
      </c>
      <c r="V42" s="2"/>
      <c r="W42" s="46"/>
      <c r="X42" s="8"/>
      <c r="Y42" s="8"/>
      <c r="Z42" s="8"/>
      <c r="AA42" s="8"/>
      <c r="AB42" s="47"/>
    </row>
    <row r="43" spans="2:28" ht="30.75" customHeight="1" thickBot="1" x14ac:dyDescent="0.25">
      <c r="B43" s="68" t="s">
        <v>45</v>
      </c>
      <c r="C43" s="115"/>
      <c r="D43" s="115">
        <v>800000000</v>
      </c>
      <c r="E43" s="115">
        <v>0</v>
      </c>
      <c r="F43" s="87" t="str">
        <f t="shared" si="19"/>
        <v/>
      </c>
      <c r="G43" s="100">
        <f t="shared" si="14"/>
        <v>4394854</v>
      </c>
      <c r="H43" s="100" t="e">
        <f t="shared" si="5"/>
        <v>#VALUE!</v>
      </c>
      <c r="I43" s="88" t="str">
        <f t="shared" si="20"/>
        <v/>
      </c>
      <c r="J43" s="100">
        <f t="shared" si="15"/>
        <v>0</v>
      </c>
      <c r="K43" s="100" t="e">
        <f t="shared" si="8"/>
        <v>#VALUE!</v>
      </c>
      <c r="L43" s="88" t="str">
        <f t="shared" si="22"/>
        <v/>
      </c>
      <c r="M43" s="101" t="e">
        <f>MAX(MIN(C43-G43-J43,R43+D43+S43+T43-U43),0)</f>
        <v>#VALUE!</v>
      </c>
      <c r="N43" s="101" t="e">
        <f t="shared" si="0"/>
        <v>#VALUE!</v>
      </c>
      <c r="O43" s="14"/>
      <c r="P43" s="97" t="str">
        <f t="shared" si="16"/>
        <v/>
      </c>
      <c r="Q43" s="15"/>
      <c r="R43" s="92" t="str">
        <f t="shared" si="17"/>
        <v/>
      </c>
      <c r="S43" s="92" t="str">
        <f t="shared" si="1"/>
        <v/>
      </c>
      <c r="T43" s="88" t="str">
        <f t="shared" si="18"/>
        <v/>
      </c>
      <c r="U43" s="97" t="str">
        <f t="shared" si="2"/>
        <v/>
      </c>
      <c r="V43" s="2"/>
      <c r="W43" s="79"/>
      <c r="X43" s="53"/>
      <c r="Y43" s="53"/>
      <c r="Z43" s="53"/>
      <c r="AA43" s="53"/>
      <c r="AB43" s="75"/>
    </row>
    <row r="44" spans="2:28" ht="30.75" customHeight="1" x14ac:dyDescent="0.2">
      <c r="B44" s="68" t="s">
        <v>46</v>
      </c>
      <c r="C44" s="115"/>
      <c r="D44" s="115">
        <v>800000000</v>
      </c>
      <c r="E44" s="115">
        <v>0</v>
      </c>
      <c r="F44" s="87" t="str">
        <f t="shared" si="19"/>
        <v/>
      </c>
      <c r="G44" s="100">
        <f t="shared" si="14"/>
        <v>4394854</v>
      </c>
      <c r="H44" s="100" t="e">
        <f t="shared" si="5"/>
        <v>#VALUE!</v>
      </c>
      <c r="I44" s="88" t="str">
        <f t="shared" si="20"/>
        <v/>
      </c>
      <c r="J44" s="100">
        <f t="shared" si="15"/>
        <v>0</v>
      </c>
      <c r="K44" s="100" t="e">
        <f>I44-J44</f>
        <v>#VALUE!</v>
      </c>
      <c r="L44" s="88" t="str">
        <f>IF(C44="","",R44+D44+S44+T44-U44)</f>
        <v/>
      </c>
      <c r="M44" s="101" t="e">
        <f t="shared" si="21"/>
        <v>#VALUE!</v>
      </c>
      <c r="N44" s="101" t="e">
        <f t="shared" si="0"/>
        <v>#VALUE!</v>
      </c>
      <c r="O44" s="14"/>
      <c r="P44" s="97" t="str">
        <f t="shared" si="16"/>
        <v/>
      </c>
      <c r="Q44" s="15"/>
      <c r="R44" s="92" t="str">
        <f t="shared" si="17"/>
        <v/>
      </c>
      <c r="S44" s="92" t="str">
        <f t="shared" si="1"/>
        <v/>
      </c>
      <c r="T44" s="88" t="str">
        <f t="shared" si="18"/>
        <v/>
      </c>
      <c r="U44" s="97" t="str">
        <f t="shared" si="2"/>
        <v/>
      </c>
      <c r="V44" s="2"/>
    </row>
    <row r="45" spans="2:28" ht="30.75" customHeight="1" x14ac:dyDescent="0.2">
      <c r="B45" s="68" t="s">
        <v>47</v>
      </c>
      <c r="C45" s="115"/>
      <c r="D45" s="115">
        <v>800000000</v>
      </c>
      <c r="E45" s="115">
        <v>0</v>
      </c>
      <c r="F45" s="87" t="str">
        <f t="shared" si="19"/>
        <v/>
      </c>
      <c r="G45" s="100">
        <f t="shared" si="14"/>
        <v>4394854</v>
      </c>
      <c r="H45" s="100" t="e">
        <f t="shared" si="5"/>
        <v>#VALUE!</v>
      </c>
      <c r="I45" s="88" t="str">
        <f t="shared" si="20"/>
        <v/>
      </c>
      <c r="J45" s="100">
        <f>MAX(MIN(C45-G45,ROUNDDOWN($P$3/365,0)-G45),0)</f>
        <v>0</v>
      </c>
      <c r="K45" s="100" t="e">
        <f t="shared" si="8"/>
        <v>#VALUE!</v>
      </c>
      <c r="L45" s="88" t="str">
        <f t="shared" si="22"/>
        <v/>
      </c>
      <c r="M45" s="101" t="e">
        <f t="shared" si="21"/>
        <v>#VALUE!</v>
      </c>
      <c r="N45" s="101" t="e">
        <f t="shared" si="0"/>
        <v>#VALUE!</v>
      </c>
      <c r="O45" s="14"/>
      <c r="P45" s="97" t="str">
        <f t="shared" si="16"/>
        <v/>
      </c>
      <c r="Q45" s="15"/>
      <c r="R45" s="92" t="str">
        <f t="shared" si="17"/>
        <v/>
      </c>
      <c r="S45" s="92" t="str">
        <f t="shared" si="1"/>
        <v/>
      </c>
      <c r="T45" s="88" t="str">
        <f t="shared" si="18"/>
        <v/>
      </c>
      <c r="U45" s="97" t="str">
        <f t="shared" si="2"/>
        <v/>
      </c>
      <c r="V45" s="2"/>
    </row>
    <row r="46" spans="2:28" ht="30.75" customHeight="1" thickBot="1" x14ac:dyDescent="0.25">
      <c r="B46" s="69" t="s">
        <v>48</v>
      </c>
      <c r="C46" s="126"/>
      <c r="D46" s="126">
        <v>800000000</v>
      </c>
      <c r="E46" s="126">
        <v>0</v>
      </c>
      <c r="F46" s="87" t="str">
        <f>IF(C46="","",$D$4)</f>
        <v/>
      </c>
      <c r="G46" s="100">
        <f t="shared" si="14"/>
        <v>4394854</v>
      </c>
      <c r="H46" s="100" t="e">
        <f t="shared" si="5"/>
        <v>#VALUE!</v>
      </c>
      <c r="I46" s="88" t="str">
        <f>IF(C46="","",MAX(ROUNDDOWN($P$3/365,0)-$D$4,0))</f>
        <v/>
      </c>
      <c r="J46" s="100">
        <f t="shared" si="15"/>
        <v>0</v>
      </c>
      <c r="K46" s="100" t="e">
        <f t="shared" si="8"/>
        <v>#VALUE!</v>
      </c>
      <c r="L46" s="88" t="str">
        <f t="shared" si="22"/>
        <v/>
      </c>
      <c r="M46" s="101" t="e">
        <f>MAX(MIN(C46-G46-J46,R46+D46+S46+T46-U46),0)</f>
        <v>#VALUE!</v>
      </c>
      <c r="N46" s="101" t="e">
        <f t="shared" si="0"/>
        <v>#VALUE!</v>
      </c>
      <c r="O46" s="14"/>
      <c r="P46" s="97" t="str">
        <f t="shared" si="16"/>
        <v/>
      </c>
      <c r="Q46" s="15"/>
      <c r="R46" s="92" t="str">
        <f t="shared" si="17"/>
        <v/>
      </c>
      <c r="S46" s="92" t="str">
        <f t="shared" si="1"/>
        <v/>
      </c>
      <c r="T46" s="88" t="str">
        <f t="shared" si="18"/>
        <v/>
      </c>
      <c r="U46" s="97" t="str">
        <f t="shared" si="2"/>
        <v/>
      </c>
      <c r="V46" s="2"/>
    </row>
    <row r="47" spans="2:28" ht="24" customHeight="1" thickBot="1" x14ac:dyDescent="0.25">
      <c r="B47" s="70"/>
      <c r="C47" s="16"/>
      <c r="D47" s="16"/>
      <c r="E47" s="16"/>
      <c r="F47" s="16"/>
      <c r="G47" s="7"/>
      <c r="H47" s="7"/>
      <c r="I47" s="7"/>
      <c r="J47" s="7"/>
      <c r="K47" s="7"/>
      <c r="L47" s="7"/>
      <c r="M47" s="7"/>
      <c r="N47" s="7"/>
      <c r="O47" s="16"/>
      <c r="P47" s="98"/>
      <c r="Q47" s="16"/>
      <c r="R47" s="7"/>
      <c r="S47" s="7"/>
      <c r="T47" s="7"/>
      <c r="U47" s="98"/>
      <c r="V47" s="2"/>
    </row>
    <row r="48" spans="2:28" ht="30" customHeight="1" thickBot="1" x14ac:dyDescent="0.25">
      <c r="B48" s="71" t="s">
        <v>8</v>
      </c>
      <c r="C48" s="95">
        <f>SUM(C16:C46)</f>
        <v>16394098952</v>
      </c>
      <c r="D48" s="95">
        <f>SUM(D16:D46)</f>
        <v>18600000000</v>
      </c>
      <c r="E48" s="95">
        <f>SUM(E16:E46)</f>
        <v>0</v>
      </c>
      <c r="F48" s="88">
        <f>SUM(F16:F46)</f>
        <v>92291934</v>
      </c>
      <c r="G48" s="109">
        <f>MIN(C48,$D$4*$D$3)</f>
        <v>136240474</v>
      </c>
      <c r="H48" s="110">
        <f>F48-G48</f>
        <v>-43948540</v>
      </c>
      <c r="I48" s="103">
        <f>SUM(I16:I46)</f>
        <v>1183444815</v>
      </c>
      <c r="J48" s="108">
        <f>MAX(MIN(C48-G48,ROUNDDOWN($P$3*$D$3/365,0)-G48),0)</f>
        <v>1746989980</v>
      </c>
      <c r="K48" s="105">
        <f>I48-J48</f>
        <v>-563545165</v>
      </c>
      <c r="L48" s="103">
        <f>SUM(L16:L46)</f>
        <v>19489099697</v>
      </c>
      <c r="M48" s="104">
        <f>MAX(MIN(C48-G48-J48,ROUNDDOWN(ROUNDDOWN($P$3*$D$3/365,0)*$D$5/100,0)+IFERROR(ROUNDDOWN(ROUNDDOWN($T$8*$D$3/$T$9,0)*$D$5/100,0),0)+$D$48+ROUNDDOWN(MAX($D$48-$E$48-$P$4*$D$3,0)*$D$6/100,0)+$T$4+$T$6*$D$3-IF($AA$4="○",ROUNDDOWN((ROUNDDOWN(ROUNDDOWN($P$3*$D$3/365,0)*$D$5/100,0)+IFERROR(ROUNDDOWN(ROUNDDOWN($T$8*$D$3/$T$9,0)*$D$5/100,0),0)+$D$48+ROUNDDOWN(MAX($D$48-$E$48-$P$4*$D$3,0)*$D$6/100,0)+$T$4+$T$6*$D$3)*25/100,0),0)-AA6))</f>
        <v>14510868498</v>
      </c>
      <c r="N48" s="105">
        <f>L48-M48</f>
        <v>4978231199</v>
      </c>
      <c r="O48" s="17"/>
      <c r="P48" s="99">
        <f>SUM(P16:P46)</f>
        <v>773633930</v>
      </c>
      <c r="Q48" s="16"/>
      <c r="R48" s="96">
        <f>SUM(R16:R46)</f>
        <v>389099697</v>
      </c>
      <c r="S48" s="95">
        <f>SUM(S16:S46)</f>
        <v>8500000000</v>
      </c>
      <c r="T48" s="95">
        <f>SUM(T16:T46)</f>
        <v>0</v>
      </c>
      <c r="U48" s="99">
        <f>SUM(U16:U46)</f>
        <v>0</v>
      </c>
      <c r="V48" s="2"/>
    </row>
    <row r="49" spans="3:28" ht="29.25" customHeight="1" x14ac:dyDescent="0.2">
      <c r="D49" s="3"/>
      <c r="E49" s="3"/>
      <c r="F49" s="3"/>
      <c r="G49" s="102"/>
      <c r="H49" s="3"/>
      <c r="I49" s="3"/>
      <c r="J49" s="3"/>
      <c r="K49" s="3"/>
      <c r="L49" s="3"/>
      <c r="M49" s="3"/>
      <c r="N49" s="3"/>
      <c r="O49" s="18"/>
      <c r="P49" s="3"/>
      <c r="Q49" s="18"/>
      <c r="R49" s="3"/>
      <c r="S49" s="3"/>
      <c r="T49" s="3"/>
      <c r="U49" s="3"/>
      <c r="V49" s="2"/>
      <c r="W49" s="2"/>
    </row>
    <row r="50" spans="3:28" ht="22" customHeight="1" x14ac:dyDescent="0.2">
      <c r="C50" s="1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W50" s="2"/>
    </row>
    <row r="51" spans="3:28" ht="22" customHeight="1" x14ac:dyDescent="0.2">
      <c r="C51" s="1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AB51" s="1"/>
    </row>
    <row r="52" spans="3:28" ht="22" customHeight="1" x14ac:dyDescent="0.2">
      <c r="AB52" s="1"/>
    </row>
    <row r="53" spans="3:28" ht="22" customHeight="1" x14ac:dyDescent="0.2">
      <c r="AB53" s="1"/>
    </row>
    <row r="54" spans="3:28" ht="22" customHeight="1" x14ac:dyDescent="0.2">
      <c r="AB54" s="1"/>
    </row>
    <row r="55" spans="3:28" ht="22" customHeight="1" x14ac:dyDescent="0.2">
      <c r="AB55" s="1"/>
    </row>
    <row r="56" spans="3:28" ht="22" customHeight="1" x14ac:dyDescent="0.2">
      <c r="AB56" s="1"/>
    </row>
    <row r="57" spans="3:28" ht="22" customHeight="1" x14ac:dyDescent="0.2">
      <c r="AB57" s="1"/>
    </row>
    <row r="58" spans="3:28" ht="22" customHeight="1" x14ac:dyDescent="0.2">
      <c r="AB58" s="1"/>
    </row>
    <row r="59" spans="3:28" ht="22" customHeight="1" x14ac:dyDescent="0.2">
      <c r="AB59" s="1"/>
    </row>
  </sheetData>
  <sheetProtection algorithmName="SHA-512" hashValue="39WEqgjHNzn5stuk7MLSfezJdnu6CJ/i0gmjQpJVL54DZRE6ONuEAnzxchHCVs/kQjGteyPNTJ3ahf/3e+gT3g==" saltValue="wxZxj6TvrrPu6k3H8GuCuA==" spinCount="100000" sheet="1" objects="1" scenarios="1"/>
  <mergeCells count="43">
    <mergeCell ref="M14:M15"/>
    <mergeCell ref="A1:AB1"/>
    <mergeCell ref="X12:AA13"/>
    <mergeCell ref="B13:B15"/>
    <mergeCell ref="C13:C15"/>
    <mergeCell ref="D13:D15"/>
    <mergeCell ref="F13:F15"/>
    <mergeCell ref="I13:I15"/>
    <mergeCell ref="L13:L15"/>
    <mergeCell ref="P13:P15"/>
    <mergeCell ref="R13:U13"/>
    <mergeCell ref="E14:E15"/>
    <mergeCell ref="G14:G15"/>
    <mergeCell ref="H14:H15"/>
    <mergeCell ref="J14:J15"/>
    <mergeCell ref="K14:K15"/>
    <mergeCell ref="Y20:Z21"/>
    <mergeCell ref="AA20:AA21"/>
    <mergeCell ref="N14:N15"/>
    <mergeCell ref="R14:R15"/>
    <mergeCell ref="S14:S15"/>
    <mergeCell ref="T14:T15"/>
    <mergeCell ref="U14:U15"/>
    <mergeCell ref="X14:Z15"/>
    <mergeCell ref="AA14:AA15"/>
    <mergeCell ref="Y16:Z17"/>
    <mergeCell ref="AA16:AA17"/>
    <mergeCell ref="Y18:Z19"/>
    <mergeCell ref="AA18:AA19"/>
    <mergeCell ref="Y22:Z23"/>
    <mergeCell ref="AA22:AA23"/>
    <mergeCell ref="X27:AA28"/>
    <mergeCell ref="X29:Y31"/>
    <mergeCell ref="Z29:Z30"/>
    <mergeCell ref="AA29:AA30"/>
    <mergeCell ref="X38:Z39"/>
    <mergeCell ref="AA38:AA39"/>
    <mergeCell ref="X32:Y34"/>
    <mergeCell ref="Z32:Z33"/>
    <mergeCell ref="AA32:AA33"/>
    <mergeCell ref="X35:Y37"/>
    <mergeCell ref="Z35:Z36"/>
    <mergeCell ref="AA35:AA36"/>
  </mergeCells>
  <phoneticPr fontId="1"/>
  <dataValidations count="5">
    <dataValidation type="list" allowBlank="1" showInputMessage="1" showErrorMessage="1" sqref="AA4">
      <formula1>"○"</formula1>
    </dataValidation>
    <dataValidation type="whole" operator="greaterThanOrEqual" allowBlank="1" showInputMessage="1" showErrorMessage="1" sqref="D4 P3:P4 AA6 T4 T6 T8 C16:E46">
      <formula1>0</formula1>
    </dataValidation>
    <dataValidation type="whole" allowBlank="1" showInputMessage="1" showErrorMessage="1" sqref="T10 D3">
      <formula1>1</formula1>
      <formula2>31</formula2>
    </dataValidation>
    <dataValidation type="whole" allowBlank="1" showInputMessage="1" showErrorMessage="1" sqref="T9">
      <formula1>1</formula1>
      <formula2>366</formula2>
    </dataValidation>
    <dataValidation type="custom" allowBlank="1" showInputMessage="1" showErrorMessage="1" sqref="D5:D6">
      <formula1>AND(0&lt;=D5,D5&lt;=100,ROUNDDOWN(D5,1)=D5)</formula1>
    </dataValidation>
  </dataValidations>
  <pageMargins left="0.19685039370078741" right="0.23622047244094491" top="0.15748031496062992" bottom="0.19685039370078741" header="0.31496062992125984" footer="0.19685039370078741"/>
  <pageSetup paperSize="8" scale="58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留意事項</vt:lpstr>
      <vt:lpstr>入力ポイント（よくあるミス等）</vt:lpstr>
      <vt:lpstr>入力シート</vt:lpstr>
      <vt:lpstr>入力例１（積み期間の終了後の確認）</vt:lpstr>
      <vt:lpstr>入力例２（積み期間の途中における確認）</vt:lpstr>
      <vt:lpstr>入力シート!Print_Area</vt:lpstr>
      <vt:lpstr>'入力ポイント（よくあるミス等）'!Print_Area</vt:lpstr>
      <vt:lpstr>'入力例１（積み期間の終了後の確認）'!Print_Area</vt:lpstr>
      <vt:lpstr>'入力例２（積み期間の途中における確認）'!Print_Area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2019-01-07T05:03:49Z</dcterms:created>
  <dcterms:modified xsi:type="dcterms:W3CDTF">2023-07-04T05:45:48Z</dcterms:modified>
</cp:coreProperties>
</file>